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znam\Dropbox (Smithsonian)\nmah_dupes\"/>
    </mc:Choice>
  </mc:AlternateContent>
  <bookViews>
    <workbookView xWindow="930" yWindow="0" windowWidth="14370" windowHeight="74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358" i="1" l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<sst xmlns="http://schemas.openxmlformats.org/spreadsheetml/2006/main" count="15992" uniqueCount="3054">
  <si>
    <t>MEDIA_ID</t>
  </si>
  <si>
    <t>ID_NUMBER</t>
  </si>
  <si>
    <t>MKEY</t>
  </si>
  <si>
    <t>DIVISION</t>
  </si>
  <si>
    <t>ITEM_NAME</t>
  </si>
  <si>
    <t>google_label1</t>
  </si>
  <si>
    <t>google_score1</t>
  </si>
  <si>
    <t>google_label2</t>
  </si>
  <si>
    <t>google_score2</t>
  </si>
  <si>
    <t>google_label3</t>
  </si>
  <si>
    <t>google_score3</t>
  </si>
  <si>
    <t>resnet_label1</t>
  </si>
  <si>
    <t>resnet_score1</t>
  </si>
  <si>
    <t>resnet_label2</t>
  </si>
  <si>
    <t>resnet_score2</t>
  </si>
  <si>
    <t>resnet_label3</t>
  </si>
  <si>
    <t>resnet_score3</t>
  </si>
  <si>
    <t>vgg_label1</t>
  </si>
  <si>
    <t>vgg_score1</t>
  </si>
  <si>
    <t>vgg_label2</t>
  </si>
  <si>
    <t>vgg_score2</t>
  </si>
  <si>
    <t>vgg_label3</t>
  </si>
  <si>
    <t>vgg_score3</t>
  </si>
  <si>
    <t>1985.0783.13</t>
  </si>
  <si>
    <t>Armed Forces History</t>
  </si>
  <si>
    <t>pistol, flintlock</t>
  </si>
  <si>
    <t>Gun</t>
  </si>
  <si>
    <t>Firearm</t>
  </si>
  <si>
    <t>Trigger</t>
  </si>
  <si>
    <t>web_site</t>
  </si>
  <si>
    <t>pitcher</t>
  </si>
  <si>
    <t>stopwatch</t>
  </si>
  <si>
    <t>rifle</t>
  </si>
  <si>
    <t>revolver</t>
  </si>
  <si>
    <t>assault_rifle</t>
  </si>
  <si>
    <t>corkscrew</t>
  </si>
  <si>
    <t>2011.0086.02</t>
  </si>
  <si>
    <t>cocktail napkin</t>
  </si>
  <si>
    <t>Rectangle</t>
  </si>
  <si>
    <t>Textile</t>
  </si>
  <si>
    <t>Dishcloth</t>
  </si>
  <si>
    <t>clog</t>
  </si>
  <si>
    <t>handkerchief</t>
  </si>
  <si>
    <t>prayer_rug</t>
  </si>
  <si>
    <t>bib</t>
  </si>
  <si>
    <t>doormat</t>
  </si>
  <si>
    <t>bath_towel</t>
  </si>
  <si>
    <t>2002.0018.01</t>
  </si>
  <si>
    <t>handle</t>
  </si>
  <si>
    <t>Brass</t>
  </si>
  <si>
    <t>Metal</t>
  </si>
  <si>
    <t>binoculars</t>
  </si>
  <si>
    <t>cleaver</t>
  </si>
  <si>
    <t>hatchet</t>
  </si>
  <si>
    <t>2017.5011.189</t>
  </si>
  <si>
    <t>musket</t>
  </si>
  <si>
    <t>Rifle</t>
  </si>
  <si>
    <t>stole</t>
  </si>
  <si>
    <t>2013.3101.56</t>
  </si>
  <si>
    <t>photograph</t>
  </si>
  <si>
    <t>Photograph</t>
  </si>
  <si>
    <t>Text</t>
  </si>
  <si>
    <t>Art</t>
  </si>
  <si>
    <t>toilet_tissue</t>
  </si>
  <si>
    <t>sea_urchin</t>
  </si>
  <si>
    <t>book_jacket</t>
  </si>
  <si>
    <t>envelope</t>
  </si>
  <si>
    <t>monitor</t>
  </si>
  <si>
    <t>2012.0214.10</t>
  </si>
  <si>
    <t>revolver, centerfire</t>
  </si>
  <si>
    <t>Revolver</t>
  </si>
  <si>
    <t>nematode</t>
  </si>
  <si>
    <t>holster</t>
  </si>
  <si>
    <t>2015.0193.08</t>
  </si>
  <si>
    <t>list</t>
  </si>
  <si>
    <t>Handwriting</t>
  </si>
  <si>
    <t>Line</t>
  </si>
  <si>
    <t>menu</t>
  </si>
  <si>
    <t>quill</t>
  </si>
  <si>
    <t>binder</t>
  </si>
  <si>
    <t>AF.248842</t>
  </si>
  <si>
    <t>carbine, percussion</t>
  </si>
  <si>
    <t>syringe</t>
  </si>
  <si>
    <t>letter_opener</t>
  </si>
  <si>
    <t>screwdriver</t>
  </si>
  <si>
    <t>1983.0777.11</t>
  </si>
  <si>
    <t>cup</t>
  </si>
  <si>
    <t>scabbard</t>
  </si>
  <si>
    <t>2016.5004.0071</t>
  </si>
  <si>
    <t>box, ammunition</t>
  </si>
  <si>
    <t>Auto part</t>
  </si>
  <si>
    <t>Product</t>
  </si>
  <si>
    <t>Gear</t>
  </si>
  <si>
    <t>pencil_sharpener</t>
  </si>
  <si>
    <t>hand_blower</t>
  </si>
  <si>
    <t>lighter</t>
  </si>
  <si>
    <t>chambered_nautilus</t>
  </si>
  <si>
    <t>shower_cap</t>
  </si>
  <si>
    <t>strainer</t>
  </si>
  <si>
    <t>AF.13042</t>
  </si>
  <si>
    <t>coat</t>
  </si>
  <si>
    <t>Clothing</t>
  </si>
  <si>
    <t>Uniform</t>
  </si>
  <si>
    <t>Outerwear</t>
  </si>
  <si>
    <t>military_uniform</t>
  </si>
  <si>
    <t>abaya</t>
  </si>
  <si>
    <t>breastplate</t>
  </si>
  <si>
    <t>bulletproof_vest</t>
  </si>
  <si>
    <t>sweatshirt</t>
  </si>
  <si>
    <t>2016.0037.30</t>
  </si>
  <si>
    <t>document</t>
  </si>
  <si>
    <t>Document</t>
  </si>
  <si>
    <t>Font</t>
  </si>
  <si>
    <t>saltshaker</t>
  </si>
  <si>
    <t>2017.5011.188</t>
  </si>
  <si>
    <t>AF.222364</t>
  </si>
  <si>
    <t>carbine</t>
  </si>
  <si>
    <t>AF.15935</t>
  </si>
  <si>
    <t>hat</t>
  </si>
  <si>
    <t>Hat</t>
  </si>
  <si>
    <t>Cowboy hat</t>
  </si>
  <si>
    <t>sombrero</t>
  </si>
  <si>
    <t>cowboy_hat</t>
  </si>
  <si>
    <t>bearskin</t>
  </si>
  <si>
    <t>AF.74267M</t>
  </si>
  <si>
    <t>poster</t>
  </si>
  <si>
    <t>Poster</t>
  </si>
  <si>
    <t>Gunfighter</t>
  </si>
  <si>
    <t>Photo caption</t>
  </si>
  <si>
    <t>comic_book</t>
  </si>
  <si>
    <t>AF.24944.01</t>
  </si>
  <si>
    <t>jacket</t>
  </si>
  <si>
    <t>Yellow</t>
  </si>
  <si>
    <t>ski_mask</t>
  </si>
  <si>
    <t>jersey</t>
  </si>
  <si>
    <t>wool</t>
  </si>
  <si>
    <t>AF.14946</t>
  </si>
  <si>
    <t>sword</t>
  </si>
  <si>
    <t>Épée</t>
  </si>
  <si>
    <t>Sword</t>
  </si>
  <si>
    <t>Dagger</t>
  </si>
  <si>
    <t>nail</t>
  </si>
  <si>
    <t>2013.3101.47</t>
  </si>
  <si>
    <t>Adaptation</t>
  </si>
  <si>
    <t>television</t>
  </si>
  <si>
    <t>2016.5004.0105</t>
  </si>
  <si>
    <t>box</t>
  </si>
  <si>
    <t>Box</t>
  </si>
  <si>
    <t>mousetrap</t>
  </si>
  <si>
    <t>switch</t>
  </si>
  <si>
    <t>scale</t>
  </si>
  <si>
    <t>rubber_eraser</t>
  </si>
  <si>
    <t>carton</t>
  </si>
  <si>
    <t>AF.36931</t>
  </si>
  <si>
    <t>spurs</t>
  </si>
  <si>
    <t>Belt</t>
  </si>
  <si>
    <t>chain</t>
  </si>
  <si>
    <t>can_opener</t>
  </si>
  <si>
    <t>banded_gecko</t>
  </si>
  <si>
    <t>hair_slide</t>
  </si>
  <si>
    <t>AF.17433</t>
  </si>
  <si>
    <t>cloak</t>
  </si>
  <si>
    <t>1988.0518.03</t>
  </si>
  <si>
    <t>pistol</t>
  </si>
  <si>
    <t>AF.4409(A)</t>
  </si>
  <si>
    <t>Sleeve</t>
  </si>
  <si>
    <t>pickelhaube</t>
  </si>
  <si>
    <t>suit</t>
  </si>
  <si>
    <t>bow_tie</t>
  </si>
  <si>
    <t>AF.43490</t>
  </si>
  <si>
    <t>soap_dispenser</t>
  </si>
  <si>
    <t>1988.0518.02</t>
  </si>
  <si>
    <t>damselfly</t>
  </si>
  <si>
    <t>dragonfly</t>
  </si>
  <si>
    <t>cornet</t>
  </si>
  <si>
    <t>hook</t>
  </si>
  <si>
    <t>AF.35112</t>
  </si>
  <si>
    <t>desk</t>
  </si>
  <si>
    <t>Furniture</t>
  </si>
  <si>
    <t>Table</t>
  </si>
  <si>
    <t>Wood stain</t>
  </si>
  <si>
    <t>barn</t>
  </si>
  <si>
    <t>upright</t>
  </si>
  <si>
    <t>analog_clock</t>
  </si>
  <si>
    <t>crate</t>
  </si>
  <si>
    <t>matchstick</t>
  </si>
  <si>
    <t>2015.0346.04</t>
  </si>
  <si>
    <t>brooch</t>
  </si>
  <si>
    <t>Fashion accessory</t>
  </si>
  <si>
    <t>drum</t>
  </si>
  <si>
    <t>pick</t>
  </si>
  <si>
    <t>panpipe</t>
  </si>
  <si>
    <t>AF.25239D</t>
  </si>
  <si>
    <t>flag, designating</t>
  </si>
  <si>
    <t>Flag</t>
  </si>
  <si>
    <t>Emblem</t>
  </si>
  <si>
    <t>Logo</t>
  </si>
  <si>
    <t>Christmas_stocking</t>
  </si>
  <si>
    <t>apron</t>
  </si>
  <si>
    <t>pillow</t>
  </si>
  <si>
    <t>AF.4717</t>
  </si>
  <si>
    <t>Jacket</t>
  </si>
  <si>
    <t>mask</t>
  </si>
  <si>
    <t>trilobite</t>
  </si>
  <si>
    <t>kimono</t>
  </si>
  <si>
    <t>2011.0086.06</t>
  </si>
  <si>
    <t>Beige</t>
  </si>
  <si>
    <t>2013.3101.31</t>
  </si>
  <si>
    <t>Organism</t>
  </si>
  <si>
    <t>packet</t>
  </si>
  <si>
    <t>AF.82316M</t>
  </si>
  <si>
    <t>cannon and carriage, brass saluting</t>
  </si>
  <si>
    <t>cannon</t>
  </si>
  <si>
    <t>mortar</t>
  </si>
  <si>
    <t>flute</t>
  </si>
  <si>
    <t>bassoon</t>
  </si>
  <si>
    <t>2012.0214.07</t>
  </si>
  <si>
    <t>pistol, semiautomatic</t>
  </si>
  <si>
    <t>2011.0086.21</t>
  </si>
  <si>
    <t>letter</t>
  </si>
  <si>
    <t>Paper</t>
  </si>
  <si>
    <t>groom</t>
  </si>
  <si>
    <t>crossword_puzzle</t>
  </si>
  <si>
    <t>2016.5004.0572</t>
  </si>
  <si>
    <t>bracket</t>
  </si>
  <si>
    <t>medicine_chest</t>
  </si>
  <si>
    <t>wallet</t>
  </si>
  <si>
    <t>2016.5004.0341</t>
  </si>
  <si>
    <t>mountain gun</t>
  </si>
  <si>
    <t>Roof</t>
  </si>
  <si>
    <t>Floor</t>
  </si>
  <si>
    <t>hotdog</t>
  </si>
  <si>
    <t>radiator</t>
  </si>
  <si>
    <t>barbell</t>
  </si>
  <si>
    <t>AF.237846</t>
  </si>
  <si>
    <t>minie balls, fused</t>
  </si>
  <si>
    <t>Rock</t>
  </si>
  <si>
    <t>Jaw</t>
  </si>
  <si>
    <t>Tree</t>
  </si>
  <si>
    <t>screw</t>
  </si>
  <si>
    <t>triceratops</t>
  </si>
  <si>
    <t>conch</t>
  </si>
  <si>
    <t>vine_snake</t>
  </si>
  <si>
    <t>2013.3101.05</t>
  </si>
  <si>
    <t>AF.17419</t>
  </si>
  <si>
    <t>bow</t>
  </si>
  <si>
    <t>sunglass</t>
  </si>
  <si>
    <t>pole</t>
  </si>
  <si>
    <t>torch</t>
  </si>
  <si>
    <t>AF.25460</t>
  </si>
  <si>
    <t>AF.78967M</t>
  </si>
  <si>
    <t>plunger</t>
  </si>
  <si>
    <t>paddle</t>
  </si>
  <si>
    <t>Band_Aid</t>
  </si>
  <si>
    <t>2016.5004.0069</t>
  </si>
  <si>
    <t>map, field</t>
  </si>
  <si>
    <t>Wood</t>
  </si>
  <si>
    <t>Cutting board</t>
  </si>
  <si>
    <t>spotlight</t>
  </si>
  <si>
    <t>shield</t>
  </si>
  <si>
    <t>rule</t>
  </si>
  <si>
    <t>magnetic_compass</t>
  </si>
  <si>
    <t>AF.25718</t>
  </si>
  <si>
    <t>drawing</t>
  </si>
  <si>
    <t>Painting</t>
  </si>
  <si>
    <t>Modern art</t>
  </si>
  <si>
    <t>fountain</t>
  </si>
  <si>
    <t>AF.25236A</t>
  </si>
  <si>
    <t>2002.0088.09</t>
  </si>
  <si>
    <t>beret</t>
  </si>
  <si>
    <t>Peaked cap</t>
  </si>
  <si>
    <t>Blue</t>
  </si>
  <si>
    <t>Cap</t>
  </si>
  <si>
    <t>toilet_seat</t>
  </si>
  <si>
    <t>tub</t>
  </si>
  <si>
    <t>bathtub</t>
  </si>
  <si>
    <t>mortarboard</t>
  </si>
  <si>
    <t>airship</t>
  </si>
  <si>
    <t>2016.5004.0758</t>
  </si>
  <si>
    <t>engine</t>
  </si>
  <si>
    <t>Machine</t>
  </si>
  <si>
    <t>Vehicle</t>
  </si>
  <si>
    <t>lawn_mower</t>
  </si>
  <si>
    <t>go-kart</t>
  </si>
  <si>
    <t>harvester</t>
  </si>
  <si>
    <t>AF.219508</t>
  </si>
  <si>
    <t>revolving musket, flintlock</t>
  </si>
  <si>
    <t>AF.32707</t>
  </si>
  <si>
    <t>1987.0014.17</t>
  </si>
  <si>
    <t>2013.3101.03</t>
  </si>
  <si>
    <t>AF.24947.03</t>
  </si>
  <si>
    <t>sash</t>
  </si>
  <si>
    <t>Red</t>
  </si>
  <si>
    <t>Linens</t>
  </si>
  <si>
    <t>velvet</t>
  </si>
  <si>
    <t>2011.0086.20</t>
  </si>
  <si>
    <t>case, linen</t>
  </si>
  <si>
    <t>Wallet</t>
  </si>
  <si>
    <t>AF.10865</t>
  </si>
  <si>
    <t>shot</t>
  </si>
  <si>
    <t>Sphere</t>
  </si>
  <si>
    <t>Circle</t>
  </si>
  <si>
    <t>tennis_ball</t>
  </si>
  <si>
    <t>puck</t>
  </si>
  <si>
    <t>wreck</t>
  </si>
  <si>
    <t>sundial</t>
  </si>
  <si>
    <t>2013.3101.41</t>
  </si>
  <si>
    <t>City</t>
  </si>
  <si>
    <t>AF.3113 [dup1]</t>
  </si>
  <si>
    <t>medal</t>
  </si>
  <si>
    <t>Symbol</t>
  </si>
  <si>
    <t>Illustration</t>
  </si>
  <si>
    <t>perfume</t>
  </si>
  <si>
    <t>throne</t>
  </si>
  <si>
    <t>table_lamp</t>
  </si>
  <si>
    <t>2013.3101.26</t>
  </si>
  <si>
    <t>Sky</t>
  </si>
  <si>
    <t>2016.0030.08</t>
  </si>
  <si>
    <t>wood carving</t>
  </si>
  <si>
    <t>parachute</t>
  </si>
  <si>
    <t>chiton</t>
  </si>
  <si>
    <t>AF.32398</t>
  </si>
  <si>
    <t>knife</t>
  </si>
  <si>
    <t>Knife</t>
  </si>
  <si>
    <t>Cold weapon</t>
  </si>
  <si>
    <t>2013.3101.37</t>
  </si>
  <si>
    <t>AF.236599.02</t>
  </si>
  <si>
    <t>ship mounted binoculars</t>
  </si>
  <si>
    <t>Tool</t>
  </si>
  <si>
    <t>power_drill</t>
  </si>
  <si>
    <t>carpenter's_kit</t>
  </si>
  <si>
    <t>1982.0176.01</t>
  </si>
  <si>
    <t>tag, identification</t>
  </si>
  <si>
    <t>lipstick</t>
  </si>
  <si>
    <t>face_powder</t>
  </si>
  <si>
    <t>gas_pump</t>
  </si>
  <si>
    <t>buckle</t>
  </si>
  <si>
    <t>waffle_iron</t>
  </si>
  <si>
    <t>combination_lock</t>
  </si>
  <si>
    <t>1977.0020.094</t>
  </si>
  <si>
    <t>Black</t>
  </si>
  <si>
    <t>trench_coat</t>
  </si>
  <si>
    <t>1987.0014.08</t>
  </si>
  <si>
    <t>AF.78679M</t>
  </si>
  <si>
    <t>gun</t>
  </si>
  <si>
    <t>Cannon</t>
  </si>
  <si>
    <t>Wheel</t>
  </si>
  <si>
    <t>Spoke</t>
  </si>
  <si>
    <t>Granny_Smith</t>
  </si>
  <si>
    <t>jinrikisha</t>
  </si>
  <si>
    <t>tricycle</t>
  </si>
  <si>
    <t>bicycle-built-for-two</t>
  </si>
  <si>
    <t>AF.74258M</t>
  </si>
  <si>
    <t>Muscle</t>
  </si>
  <si>
    <t>chimpanzee</t>
  </si>
  <si>
    <t>AF.2142B</t>
  </si>
  <si>
    <t>vest</t>
  </si>
  <si>
    <t>cuirass</t>
  </si>
  <si>
    <t>mailbag</t>
  </si>
  <si>
    <t>1979.1267.001</t>
  </si>
  <si>
    <t>cap</t>
  </si>
  <si>
    <t>Headgear</t>
  </si>
  <si>
    <t>water_bottle</t>
  </si>
  <si>
    <t>pill_bottle</t>
  </si>
  <si>
    <t>candle</t>
  </si>
  <si>
    <t>thimble</t>
  </si>
  <si>
    <t>AF.11971</t>
  </si>
  <si>
    <t>crutches, pair of</t>
  </si>
  <si>
    <t>Musical instrument accessory</t>
  </si>
  <si>
    <t>wall_clock</t>
  </si>
  <si>
    <t>drumstick</t>
  </si>
  <si>
    <t>crutch</t>
  </si>
  <si>
    <t>2015.0193.04</t>
  </si>
  <si>
    <t>negative photograph</t>
  </si>
  <si>
    <t>Photography</t>
  </si>
  <si>
    <t>Black-and-white</t>
  </si>
  <si>
    <t>window_screen</t>
  </si>
  <si>
    <t>window_shade</t>
  </si>
  <si>
    <t>barbershop</t>
  </si>
  <si>
    <t>fire_screen</t>
  </si>
  <si>
    <t>2013.3101.30</t>
  </si>
  <si>
    <t>1986.0024.04</t>
  </si>
  <si>
    <t>AF.25266A</t>
  </si>
  <si>
    <t>flagpole</t>
  </si>
  <si>
    <t>1985.0783.08</t>
  </si>
  <si>
    <t>1978.0641.155c</t>
  </si>
  <si>
    <t>Cultural History</t>
  </si>
  <si>
    <t>bed parts</t>
  </si>
  <si>
    <t>Automotive exterior</t>
  </si>
  <si>
    <t>hammer</t>
  </si>
  <si>
    <t>guillotine</t>
  </si>
  <si>
    <t>shopping_cart</t>
  </si>
  <si>
    <t>plate_rack</t>
  </si>
  <si>
    <t>stretcher</t>
  </si>
  <si>
    <t>1978.0641.158A</t>
  </si>
  <si>
    <t>cupboard parts</t>
  </si>
  <si>
    <t>Hardwood</t>
  </si>
  <si>
    <t>plane</t>
  </si>
  <si>
    <t>slide_rule</t>
  </si>
  <si>
    <t>2011.3085.278</t>
  </si>
  <si>
    <t>magazine, skateboarding</t>
  </si>
  <si>
    <t>Skateboarding</t>
  </si>
  <si>
    <t>Recreation</t>
  </si>
  <si>
    <t>Kickflip</t>
  </si>
  <si>
    <t>ashcan</t>
  </si>
  <si>
    <t>street_sign</t>
  </si>
  <si>
    <t>1978.0641.149</t>
  </si>
  <si>
    <t>table</t>
  </si>
  <si>
    <t>Stool</t>
  </si>
  <si>
    <t>park_bench</t>
  </si>
  <si>
    <t>patio</t>
  </si>
  <si>
    <t>pedestal</t>
  </si>
  <si>
    <t>dining_table</t>
  </si>
  <si>
    <t>1982.0767.01</t>
  </si>
  <si>
    <t>candlestick</t>
  </si>
  <si>
    <t>Bronze</t>
  </si>
  <si>
    <t>goblet</t>
  </si>
  <si>
    <t>ZZ.RSN82788V02</t>
  </si>
  <si>
    <t>soda fountain</t>
  </si>
  <si>
    <t>Desk</t>
  </si>
  <si>
    <t>pool_table</t>
  </si>
  <si>
    <t>1978.0641.118</t>
  </si>
  <si>
    <t>rack</t>
  </si>
  <si>
    <t>1978.0670.736</t>
  </si>
  <si>
    <t>Culture and the Arts</t>
  </si>
  <si>
    <t>sound recording</t>
  </si>
  <si>
    <t>brass</t>
  </si>
  <si>
    <t>ET.234377.002VV</t>
  </si>
  <si>
    <t>Snapshot</t>
  </si>
  <si>
    <t>Lady</t>
  </si>
  <si>
    <t>washbasin</t>
  </si>
  <si>
    <t>MI.60.1384</t>
  </si>
  <si>
    <t>english guitar</t>
  </si>
  <si>
    <t>Musical instrument</t>
  </si>
  <si>
    <t>String instrument</t>
  </si>
  <si>
    <t>Plucked string instruments</t>
  </si>
  <si>
    <t>acoustic_guitar</t>
  </si>
  <si>
    <t>electric_guitar</t>
  </si>
  <si>
    <t>1978.0670.049</t>
  </si>
  <si>
    <t>Electronics</t>
  </si>
  <si>
    <t>Gramophone record</t>
  </si>
  <si>
    <t>Technology</t>
  </si>
  <si>
    <t>projector</t>
  </si>
  <si>
    <t>loupe</t>
  </si>
  <si>
    <t>digital_clock</t>
  </si>
  <si>
    <t>digital_watch</t>
  </si>
  <si>
    <t>1996.0320.05308</t>
  </si>
  <si>
    <t>Paper product</t>
  </si>
  <si>
    <t>1978.0670.751</t>
  </si>
  <si>
    <t>Album cover</t>
  </si>
  <si>
    <t>jellyfish</t>
  </si>
  <si>
    <t>jigsaw_puzzle</t>
  </si>
  <si>
    <t>basketball</t>
  </si>
  <si>
    <t>1996.3034.04454</t>
  </si>
  <si>
    <t>Face</t>
  </si>
  <si>
    <t>Forehead</t>
  </si>
  <si>
    <t>Nose</t>
  </si>
  <si>
    <t>1978.0670.256</t>
  </si>
  <si>
    <t>Publication</t>
  </si>
  <si>
    <t>frying_pan</t>
  </si>
  <si>
    <t>cassette</t>
  </si>
  <si>
    <t>wine_bottle</t>
  </si>
  <si>
    <t>2015.0215.1498</t>
  </si>
  <si>
    <t>Chin</t>
  </si>
  <si>
    <t>vase</t>
  </si>
  <si>
    <t>cellular_telephone</t>
  </si>
  <si>
    <t>1978.0670.455</t>
  </si>
  <si>
    <t>Advertising</t>
  </si>
  <si>
    <t>1988.3160.46</t>
  </si>
  <si>
    <t>lunch box</t>
  </si>
  <si>
    <t>Suitcase</t>
  </si>
  <si>
    <t>Pencil case</t>
  </si>
  <si>
    <t>2000.3050.07</t>
  </si>
  <si>
    <t>bowl, fish</t>
  </si>
  <si>
    <t>Poinsettia</t>
  </si>
  <si>
    <t>Plant</t>
  </si>
  <si>
    <t>Christmas decoration</t>
  </si>
  <si>
    <t>strawberry</t>
  </si>
  <si>
    <t>red_wine</t>
  </si>
  <si>
    <t>MI.62.382</t>
  </si>
  <si>
    <t>harpsichord</t>
  </si>
  <si>
    <t>grand_piano</t>
  </si>
  <si>
    <t>marimba</t>
  </si>
  <si>
    <t>1981.0566.190</t>
  </si>
  <si>
    <t>bookshop</t>
  </si>
  <si>
    <t>1978.0670.564</t>
  </si>
  <si>
    <t>Label</t>
  </si>
  <si>
    <t>1978.0670.801</t>
  </si>
  <si>
    <t>Bowed string instrument</t>
  </si>
  <si>
    <t>Violin family</t>
  </si>
  <si>
    <t>birdhouse</t>
  </si>
  <si>
    <t>fireboat</t>
  </si>
  <si>
    <t>violin</t>
  </si>
  <si>
    <t>thresher</t>
  </si>
  <si>
    <t>MI.65.0625</t>
  </si>
  <si>
    <t>ballpoint</t>
  </si>
  <si>
    <t>1996.0320.05005</t>
  </si>
  <si>
    <t>Plate</t>
  </si>
  <si>
    <t>ladle</t>
  </si>
  <si>
    <t>laptop</t>
  </si>
  <si>
    <t>1978.0670.152</t>
  </si>
  <si>
    <t>traffic_light</t>
  </si>
  <si>
    <t>dumbbell</t>
  </si>
  <si>
    <t>CL.68.433</t>
  </si>
  <si>
    <t>figure</t>
  </si>
  <si>
    <t>Sculpture</t>
  </si>
  <si>
    <t>Figurine</t>
  </si>
  <si>
    <t>scorpion</t>
  </si>
  <si>
    <t>king_crab</t>
  </si>
  <si>
    <t>2002.0354.01</t>
  </si>
  <si>
    <t>dress</t>
  </si>
  <si>
    <t>Dress</t>
  </si>
  <si>
    <t>gown</t>
  </si>
  <si>
    <t>overskirt</t>
  </si>
  <si>
    <t>2014.0041.01</t>
  </si>
  <si>
    <t>1978.0670.210</t>
  </si>
  <si>
    <t>loudspeaker</t>
  </si>
  <si>
    <t>2017.3021.059</t>
  </si>
  <si>
    <t>song book</t>
  </si>
  <si>
    <t>Cartoon</t>
  </si>
  <si>
    <t>1983.0183.11</t>
  </si>
  <si>
    <t>season pass, baseball</t>
  </si>
  <si>
    <t>2017.0015.01</t>
  </si>
  <si>
    <t>gong</t>
  </si>
  <si>
    <t>1978.0670.699</t>
  </si>
  <si>
    <t>Picture frame</t>
  </si>
  <si>
    <t>1979.0954.39</t>
  </si>
  <si>
    <t>1978.0670.766</t>
  </si>
  <si>
    <t>CD_player</t>
  </si>
  <si>
    <t>hard_disc</t>
  </si>
  <si>
    <t>2013.0037.36</t>
  </si>
  <si>
    <t>drumsticks</t>
  </si>
  <si>
    <t>Office supplies</t>
  </si>
  <si>
    <t>MI.392020</t>
  </si>
  <si>
    <t>Woodwind instrument</t>
  </si>
  <si>
    <t>Wind instrument</t>
  </si>
  <si>
    <t>oboe</t>
  </si>
  <si>
    <t>1986.0711.0334.06</t>
  </si>
  <si>
    <t>albumen photograph</t>
  </si>
  <si>
    <t>1992.0634.045</t>
  </si>
  <si>
    <t>coloring book</t>
  </si>
  <si>
    <t>Games</t>
  </si>
  <si>
    <t>1985.0017.10</t>
  </si>
  <si>
    <t>Brass instrument</t>
  </si>
  <si>
    <t>trombone</t>
  </si>
  <si>
    <t>French_horn</t>
  </si>
  <si>
    <t>2007.0137.005.10</t>
  </si>
  <si>
    <t>puppet</t>
  </si>
  <si>
    <t>theater_curtain</t>
  </si>
  <si>
    <t>bell_cote</t>
  </si>
  <si>
    <t>1989.0654.01</t>
  </si>
  <si>
    <t>Violin</t>
  </si>
  <si>
    <t>cello</t>
  </si>
  <si>
    <t>MI.005647</t>
  </si>
  <si>
    <t>projectile</t>
  </si>
  <si>
    <t>missile</t>
  </si>
  <si>
    <t>GA.03210.13</t>
  </si>
  <si>
    <t>chisel</t>
  </si>
  <si>
    <t>Antique tool</t>
  </si>
  <si>
    <t>paintbrush</t>
  </si>
  <si>
    <t>shovel</t>
  </si>
  <si>
    <t>ET.234377.002MM</t>
  </si>
  <si>
    <t>Long hair</t>
  </si>
  <si>
    <t>screen</t>
  </si>
  <si>
    <t>MI.332175</t>
  </si>
  <si>
    <t>piano</t>
  </si>
  <si>
    <t>folding_chair</t>
  </si>
  <si>
    <t>MI.78.05</t>
  </si>
  <si>
    <t>banjo</t>
  </si>
  <si>
    <t>1993.0102.087</t>
  </si>
  <si>
    <t>washer</t>
  </si>
  <si>
    <t>safe</t>
  </si>
  <si>
    <t>electric_fan</t>
  </si>
  <si>
    <t>MI.017230</t>
  </si>
  <si>
    <t>Glass</t>
  </si>
  <si>
    <t>steel_drum</t>
  </si>
  <si>
    <t>MI.095251</t>
  </si>
  <si>
    <t>pandora ?</t>
  </si>
  <si>
    <t>MI.76.30</t>
  </si>
  <si>
    <t>2002.0124.07</t>
  </si>
  <si>
    <t>baseball</t>
  </si>
  <si>
    <t>Baseball</t>
  </si>
  <si>
    <t>Ball</t>
  </si>
  <si>
    <t>Team sport</t>
  </si>
  <si>
    <t>ballplayer</t>
  </si>
  <si>
    <t>rugby_ball</t>
  </si>
  <si>
    <t>ping-pong_ball</t>
  </si>
  <si>
    <t>1987.0738.01</t>
  </si>
  <si>
    <t>skateboard</t>
  </si>
  <si>
    <t>Longboard</t>
  </si>
  <si>
    <t>Skateboarding Equipment</t>
  </si>
  <si>
    <t>Skateboard</t>
  </si>
  <si>
    <t>1978.0670.170</t>
  </si>
  <si>
    <t>2005.0133.01</t>
  </si>
  <si>
    <t>press, printing</t>
  </si>
  <si>
    <t>Iron</t>
  </si>
  <si>
    <t>Office equipment</t>
  </si>
  <si>
    <t>typewriter_keyboard</t>
  </si>
  <si>
    <t>space_bar</t>
  </si>
  <si>
    <t>radio</t>
  </si>
  <si>
    <t>half_track</t>
  </si>
  <si>
    <t>modem</t>
  </si>
  <si>
    <t>2003.3070.17.01</t>
  </si>
  <si>
    <t>Green</t>
  </si>
  <si>
    <t>Fictional character</t>
  </si>
  <si>
    <t>1985.0256.05</t>
  </si>
  <si>
    <t>sheet music</t>
  </si>
  <si>
    <t>Dvd</t>
  </si>
  <si>
    <t>CD</t>
  </si>
  <si>
    <t>Polaroid_camera</t>
  </si>
  <si>
    <t>iPod</t>
  </si>
  <si>
    <t>1986.0425.01</t>
  </si>
  <si>
    <t>2017.3021.020</t>
  </si>
  <si>
    <t>MI.315655</t>
  </si>
  <si>
    <t>1978.0670.053</t>
  </si>
  <si>
    <t>Electronic device</t>
  </si>
  <si>
    <t>2006.0049.01</t>
  </si>
  <si>
    <t>Pattern</t>
  </si>
  <si>
    <t>Plaid</t>
  </si>
  <si>
    <t>backpack</t>
  </si>
  <si>
    <t>lampshade</t>
  </si>
  <si>
    <t>ET.234377.002AW</t>
  </si>
  <si>
    <t>Costume design</t>
  </si>
  <si>
    <t>plastic_bag</t>
  </si>
  <si>
    <t>bassinet</t>
  </si>
  <si>
    <t>2007.0158.05</t>
  </si>
  <si>
    <t>yo-yo</t>
  </si>
  <si>
    <t>lotion</t>
  </si>
  <si>
    <t>golf_ball</t>
  </si>
  <si>
    <t>1986.0752.01</t>
  </si>
  <si>
    <t>1978.0670.337</t>
  </si>
  <si>
    <t>ET.234377.002T</t>
  </si>
  <si>
    <t>photograph,</t>
  </si>
  <si>
    <t>Victorian fashion</t>
  </si>
  <si>
    <t>hoopskirt</t>
  </si>
  <si>
    <t>MI.299845</t>
  </si>
  <si>
    <t>Antique</t>
  </si>
  <si>
    <t>Fireplace</t>
  </si>
  <si>
    <t>stove</t>
  </si>
  <si>
    <t>china_cabinet</t>
  </si>
  <si>
    <t>1990.0378.02</t>
  </si>
  <si>
    <t>book, Annie Oakley</t>
  </si>
  <si>
    <t>Shooting sport</t>
  </si>
  <si>
    <t>Shooting</t>
  </si>
  <si>
    <t>scoreboard</t>
  </si>
  <si>
    <t>1978.0670.659</t>
  </si>
  <si>
    <t>Joint</t>
  </si>
  <si>
    <t>Rat</t>
  </si>
  <si>
    <t>refrigerator</t>
  </si>
  <si>
    <t>2013.0131.07</t>
  </si>
  <si>
    <t>ruler</t>
  </si>
  <si>
    <t>Vehicle registration plate</t>
  </si>
  <si>
    <t>palace</t>
  </si>
  <si>
    <t>1978.0670.391</t>
  </si>
  <si>
    <t>lens_cap</t>
  </si>
  <si>
    <t>2010.0144.05</t>
  </si>
  <si>
    <t>Finger</t>
  </si>
  <si>
    <t>Gesture</t>
  </si>
  <si>
    <t>unicycle</t>
  </si>
  <si>
    <t>1988.0698.1079</t>
  </si>
  <si>
    <t>2014.0117.18</t>
  </si>
  <si>
    <t>card</t>
  </si>
  <si>
    <t>Head</t>
  </si>
  <si>
    <t>2003.0289.16</t>
  </si>
  <si>
    <t>trophy</t>
  </si>
  <si>
    <t>Trophy</t>
  </si>
  <si>
    <t>Award</t>
  </si>
  <si>
    <t>Silver</t>
  </si>
  <si>
    <t>sewing_machine</t>
  </si>
  <si>
    <t>1992.0565.01</t>
  </si>
  <si>
    <t>dulcimer-zither</t>
  </si>
  <si>
    <t>MI.61.235</t>
  </si>
  <si>
    <t>music box</t>
  </si>
  <si>
    <t>chest</t>
  </si>
  <si>
    <t>1999.0145.462</t>
  </si>
  <si>
    <t>stone, lithographic</t>
  </si>
  <si>
    <t>Shell</t>
  </si>
  <si>
    <t>Bivalve</t>
  </si>
  <si>
    <t>tray</t>
  </si>
  <si>
    <t>1996.3034.04449</t>
  </si>
  <si>
    <t>Album</t>
  </si>
  <si>
    <t>hair_spray</t>
  </si>
  <si>
    <t>wig</t>
  </si>
  <si>
    <t>MI.326150</t>
  </si>
  <si>
    <t>clavichord</t>
  </si>
  <si>
    <t>harmonica</t>
  </si>
  <si>
    <t>1996.0320.10941</t>
  </si>
  <si>
    <t>1978.0670.763</t>
  </si>
  <si>
    <t>disk_brake</t>
  </si>
  <si>
    <t>oil_filter</t>
  </si>
  <si>
    <t>PG.000004</t>
  </si>
  <si>
    <t>camera, daguerreotype</t>
  </si>
  <si>
    <t>Audio equipment</t>
  </si>
  <si>
    <t>Loudspeaker</t>
  </si>
  <si>
    <t>Subwoofer</t>
  </si>
  <si>
    <t>2015.0341.02</t>
  </si>
  <si>
    <t>shoes, pair of</t>
  </si>
  <si>
    <t>Footwear</t>
  </si>
  <si>
    <t>Sandal</t>
  </si>
  <si>
    <t>Shoe</t>
  </si>
  <si>
    <t>sandal</t>
  </si>
  <si>
    <t>Loafer</t>
  </si>
  <si>
    <t>shoe_shop</t>
  </si>
  <si>
    <t>wooden_spoon</t>
  </si>
  <si>
    <t>1978.0670.628</t>
  </si>
  <si>
    <t>ant</t>
  </si>
  <si>
    <t>safety_pin</t>
  </si>
  <si>
    <t>MI.60.1394</t>
  </si>
  <si>
    <t>2003.0289.27</t>
  </si>
  <si>
    <t>2001.3087.09</t>
  </si>
  <si>
    <t>1978.0670.560</t>
  </si>
  <si>
    <t>Guitar accessory</t>
  </si>
  <si>
    <t>1978.0670.155</t>
  </si>
  <si>
    <t>1978.0670.091</t>
  </si>
  <si>
    <t>1978.0670.725</t>
  </si>
  <si>
    <t>1978.0670.532</t>
  </si>
  <si>
    <t>1983.0571.04</t>
  </si>
  <si>
    <t>trumpet</t>
  </si>
  <si>
    <t>sax</t>
  </si>
  <si>
    <t>1998.0131.01</t>
  </si>
  <si>
    <t>Trumpet</t>
  </si>
  <si>
    <t>2015.0215.1475</t>
  </si>
  <si>
    <t>1978.0670.266</t>
  </si>
  <si>
    <t>1996.0320.05248</t>
  </si>
  <si>
    <t>Tartan</t>
  </si>
  <si>
    <t>Design</t>
  </si>
  <si>
    <t>1986.0711.0283.47</t>
  </si>
  <si>
    <t>Room</t>
  </si>
  <si>
    <t>Drawing</t>
  </si>
  <si>
    <t>1988.3160.41</t>
  </si>
  <si>
    <t>Canidae</t>
  </si>
  <si>
    <t>slot</t>
  </si>
  <si>
    <t>ET.234377.002WW</t>
  </si>
  <si>
    <t>Shoulder</t>
  </si>
  <si>
    <t>1978.0670.329</t>
  </si>
  <si>
    <t>1985.0016.15</t>
  </si>
  <si>
    <t>White</t>
  </si>
  <si>
    <t>boathouse</t>
  </si>
  <si>
    <t>dishwasher</t>
  </si>
  <si>
    <t>2003.0289.35</t>
  </si>
  <si>
    <t>book</t>
  </si>
  <si>
    <t>Vintage advertisement</t>
  </si>
  <si>
    <t>Magazine</t>
  </si>
  <si>
    <t>ox</t>
  </si>
  <si>
    <t>cinema</t>
  </si>
  <si>
    <t>CL.310547.151</t>
  </si>
  <si>
    <t>baseball, autographed</t>
  </si>
  <si>
    <t>Lighting</t>
  </si>
  <si>
    <t>Ceiling</t>
  </si>
  <si>
    <t>acorn</t>
  </si>
  <si>
    <t>1985.0016.01</t>
  </si>
  <si>
    <t>Monochrome</t>
  </si>
  <si>
    <t>stage</t>
  </si>
  <si>
    <t>1986.0803.01</t>
  </si>
  <si>
    <t>1996.3034.05112</t>
  </si>
  <si>
    <t>1978.0670.756</t>
  </si>
  <si>
    <t>PG.003856.0738</t>
  </si>
  <si>
    <t>cyanotype</t>
  </si>
  <si>
    <t>church</t>
  </si>
  <si>
    <t>GA.03210.21</t>
  </si>
  <si>
    <t>grindstone</t>
  </si>
  <si>
    <t>1996.0320.05115</t>
  </si>
  <si>
    <t>Fiction</t>
  </si>
  <si>
    <t>2012.0260.03</t>
  </si>
  <si>
    <t>microphone</t>
  </si>
  <si>
    <t>whistle</t>
  </si>
  <si>
    <t>ET.234377.002QQ</t>
  </si>
  <si>
    <t>Hair</t>
  </si>
  <si>
    <t>bikini</t>
  </si>
  <si>
    <t>1991.3182.04</t>
  </si>
  <si>
    <t>figure, animation</t>
  </si>
  <si>
    <t>Animation</t>
  </si>
  <si>
    <t>swing</t>
  </si>
  <si>
    <t>2014.0117.28</t>
  </si>
  <si>
    <t>Eyebrow</t>
  </si>
  <si>
    <t>1996.0153.08743</t>
  </si>
  <si>
    <t>1979.1023.108</t>
  </si>
  <si>
    <t>1996.3034.03217</t>
  </si>
  <si>
    <t>Automotive wheel system</t>
  </si>
  <si>
    <t>1987.0583.06</t>
  </si>
  <si>
    <t>1986.0711.0334.25</t>
  </si>
  <si>
    <t>1984.1116.01</t>
  </si>
  <si>
    <t>cash_machine</t>
  </si>
  <si>
    <t>1978.0670.077</t>
  </si>
  <si>
    <t>chime</t>
  </si>
  <si>
    <t>2013.0146.02</t>
  </si>
  <si>
    <t>flyer artwork, cycling</t>
  </si>
  <si>
    <t>chainlink_fence</t>
  </si>
  <si>
    <t>rocking_chair</t>
  </si>
  <si>
    <t>1986.0711.0283.25</t>
  </si>
  <si>
    <t>1980.0339.13</t>
  </si>
  <si>
    <t>1984.0479.01</t>
  </si>
  <si>
    <t>MI.66.091</t>
  </si>
  <si>
    <t>clarinet</t>
  </si>
  <si>
    <t>Clarinet</t>
  </si>
  <si>
    <t>Clarinet family</t>
  </si>
  <si>
    <t>1979.0170.02</t>
  </si>
  <si>
    <t>Home and Community Life</t>
  </si>
  <si>
    <t>saucer</t>
  </si>
  <si>
    <t>Dishware</t>
  </si>
  <si>
    <t>Plastic</t>
  </si>
  <si>
    <t>mouse</t>
  </si>
  <si>
    <t>DL.60.2545</t>
  </si>
  <si>
    <t>lithograph</t>
  </si>
  <si>
    <t>altar</t>
  </si>
  <si>
    <t>toyshop</t>
  </si>
  <si>
    <t>2001.0024.18ab</t>
  </si>
  <si>
    <t>compote</t>
  </si>
  <si>
    <t>Crystal</t>
  </si>
  <si>
    <t>Tableware</t>
  </si>
  <si>
    <t>CE.205236N</t>
  </si>
  <si>
    <t>intaglio</t>
  </si>
  <si>
    <t>Emerald</t>
  </si>
  <si>
    <t>bottlecap</t>
  </si>
  <si>
    <t>1982.0154.24B</t>
  </si>
  <si>
    <t>Medical equipment</t>
  </si>
  <si>
    <t>Cutlery</t>
  </si>
  <si>
    <t>DL.292635.0001</t>
  </si>
  <si>
    <t>ring, napkin</t>
  </si>
  <si>
    <t>Statue</t>
  </si>
  <si>
    <t>iron</t>
  </si>
  <si>
    <t>water_jug</t>
  </si>
  <si>
    <t>Indian_cobra</t>
  </si>
  <si>
    <t>DL.382000</t>
  </si>
  <si>
    <t>holder, salt dish</t>
  </si>
  <si>
    <t>DL.298065.0290</t>
  </si>
  <si>
    <t>ornament, christmas tree</t>
  </si>
  <si>
    <t>Egg</t>
  </si>
  <si>
    <t>snail</t>
  </si>
  <si>
    <t>tick</t>
  </si>
  <si>
    <t>CE.62.957F</t>
  </si>
  <si>
    <t>platter</t>
  </si>
  <si>
    <t>Porcelain</t>
  </si>
  <si>
    <t>1978.2424.19</t>
  </si>
  <si>
    <t>fork</t>
  </si>
  <si>
    <t>CE.62.881Aab</t>
  </si>
  <si>
    <t>bowl, sugar</t>
  </si>
  <si>
    <t>Ceramic</t>
  </si>
  <si>
    <t>DL.006539.02</t>
  </si>
  <si>
    <t>game</t>
  </si>
  <si>
    <t>DL.006868.050</t>
  </si>
  <si>
    <t>1982.0090.09M</t>
  </si>
  <si>
    <t>button</t>
  </si>
  <si>
    <t>balloon</t>
  </si>
  <si>
    <t>1991.0794.01</t>
  </si>
  <si>
    <t>Cup</t>
  </si>
  <si>
    <t>earthenware</t>
  </si>
  <si>
    <t>coffee_mug</t>
  </si>
  <si>
    <t>mixing_bowl</t>
  </si>
  <si>
    <t>1977.0334.08D</t>
  </si>
  <si>
    <t>spoon</t>
  </si>
  <si>
    <t>Spoon</t>
  </si>
  <si>
    <t>DL.383528</t>
  </si>
  <si>
    <t>teapot</t>
  </si>
  <si>
    <t>Teapot</t>
  </si>
  <si>
    <t>Kettle</t>
  </si>
  <si>
    <t>Lid</t>
  </si>
  <si>
    <t>coffeepot</t>
  </si>
  <si>
    <t>DL.60.2354</t>
  </si>
  <si>
    <t>Mammal</t>
  </si>
  <si>
    <t>Dog</t>
  </si>
  <si>
    <t>Vertebrate</t>
  </si>
  <si>
    <t>Saint_Bernard</t>
  </si>
  <si>
    <t>Bernese_mountain_dog</t>
  </si>
  <si>
    <t>basset</t>
  </si>
  <si>
    <t>Appenzeller</t>
  </si>
  <si>
    <t>Greater_Swiss_Mountain_dog</t>
  </si>
  <si>
    <t>TE.T14486.00C</t>
  </si>
  <si>
    <t>lace, border</t>
  </si>
  <si>
    <t>Stole</t>
  </si>
  <si>
    <t>Lace</t>
  </si>
  <si>
    <t>Scarf</t>
  </si>
  <si>
    <t>sock</t>
  </si>
  <si>
    <t>starfish</t>
  </si>
  <si>
    <t>ZZ.RSN83519Z09</t>
  </si>
  <si>
    <t>fragments</t>
  </si>
  <si>
    <t>sunglasses</t>
  </si>
  <si>
    <t>DL.64.0091</t>
  </si>
  <si>
    <t>sliding_door</t>
  </si>
  <si>
    <t>spatula</t>
  </si>
  <si>
    <t>1986.0531.074</t>
  </si>
  <si>
    <t>knife, dinner</t>
  </si>
  <si>
    <t>Cutting tool</t>
  </si>
  <si>
    <t>1988.0548.01A</t>
  </si>
  <si>
    <t>tieback, curtain</t>
  </si>
  <si>
    <t>Hair accessory</t>
  </si>
  <si>
    <t>Flower</t>
  </si>
  <si>
    <t>Headpiece</t>
  </si>
  <si>
    <t>necklace</t>
  </si>
  <si>
    <t>1978.2424.23</t>
  </si>
  <si>
    <t>DL.322793.03</t>
  </si>
  <si>
    <t>beater</t>
  </si>
  <si>
    <t>Cobalt blue</t>
  </si>
  <si>
    <t>hourglass</t>
  </si>
  <si>
    <t>CE.62.937Gab</t>
  </si>
  <si>
    <t>bowl, tea; saucer</t>
  </si>
  <si>
    <t>Blue and white porcelain</t>
  </si>
  <si>
    <t>soup_bowl</t>
  </si>
  <si>
    <t>CE.62.902B</t>
  </si>
  <si>
    <t>plate</t>
  </si>
  <si>
    <t>1978.0939.005</t>
  </si>
  <si>
    <t>skimmer</t>
  </si>
  <si>
    <t>Microphone</t>
  </si>
  <si>
    <t>maraca</t>
  </si>
  <si>
    <t>1982.0154.18D</t>
  </si>
  <si>
    <t>DL.66.0580C</t>
  </si>
  <si>
    <t>1982.0154.23E</t>
  </si>
  <si>
    <t>Fork</t>
  </si>
  <si>
    <t>1986.0531.039</t>
  </si>
  <si>
    <t>knife, carving; cutlery, set, part of</t>
  </si>
  <si>
    <t>Blade</t>
  </si>
  <si>
    <t>1980.0440.01abc</t>
  </si>
  <si>
    <t>figurine</t>
  </si>
  <si>
    <t>paper_towel</t>
  </si>
  <si>
    <t>DL.006868.038</t>
  </si>
  <si>
    <t>DL.67.0729</t>
  </si>
  <si>
    <t>dish, butter</t>
  </si>
  <si>
    <t>Serveware</t>
  </si>
  <si>
    <t>caldron</t>
  </si>
  <si>
    <t>CE.74.22</t>
  </si>
  <si>
    <t>vessel, face</t>
  </si>
  <si>
    <t>Vase</t>
  </si>
  <si>
    <t>Artifact</t>
  </si>
  <si>
    <t>whiskey_jug</t>
  </si>
  <si>
    <t>DL.61.0648</t>
  </si>
  <si>
    <t>pipe</t>
  </si>
  <si>
    <t>spindle</t>
  </si>
  <si>
    <t>CE.63.093</t>
  </si>
  <si>
    <t>Mug</t>
  </si>
  <si>
    <t>Drinkware</t>
  </si>
  <si>
    <t>DL.61.0880</t>
  </si>
  <si>
    <t>bowl, pipe</t>
  </si>
  <si>
    <t>Pipe</t>
  </si>
  <si>
    <t>stinkhorn</t>
  </si>
  <si>
    <t>DL.383534</t>
  </si>
  <si>
    <t>porringer</t>
  </si>
  <si>
    <t>Ring</t>
  </si>
  <si>
    <t>2015.0334.01</t>
  </si>
  <si>
    <t>boot, fire fighter's</t>
  </si>
  <si>
    <t>Boot</t>
  </si>
  <si>
    <t>beer_glass</t>
  </si>
  <si>
    <t>cowboy_boot</t>
  </si>
  <si>
    <t>DL.60.0340</t>
  </si>
  <si>
    <t>1982.0154.19F</t>
  </si>
  <si>
    <t>DL.298065.0446</t>
  </si>
  <si>
    <t>garland</t>
  </si>
  <si>
    <t>Bead</t>
  </si>
  <si>
    <t>Jewellery</t>
  </si>
  <si>
    <t>ocarina</t>
  </si>
  <si>
    <t>1984.0424.06</t>
  </si>
  <si>
    <t>dish, salt</t>
  </si>
  <si>
    <t>CE.300894.64</t>
  </si>
  <si>
    <t>jug</t>
  </si>
  <si>
    <t>Pottery</t>
  </si>
  <si>
    <t>2013.0121.47</t>
  </si>
  <si>
    <t>lace, collar</t>
  </si>
  <si>
    <t>Necklace</t>
  </si>
  <si>
    <t>Collar</t>
  </si>
  <si>
    <t>brassiere</t>
  </si>
  <si>
    <t>TE.E317269</t>
  </si>
  <si>
    <t>lace</t>
  </si>
  <si>
    <t>honeycomb</t>
  </si>
  <si>
    <t>mitten</t>
  </si>
  <si>
    <t>chain_mail</t>
  </si>
  <si>
    <t>DL.352256</t>
  </si>
  <si>
    <t>pipe, tobacco</t>
  </si>
  <si>
    <t>1977.0935.10</t>
  </si>
  <si>
    <t>flatiron; stand, flatiron</t>
  </si>
  <si>
    <t>Clothes iron</t>
  </si>
  <si>
    <t>dial_telephone</t>
  </si>
  <si>
    <t>barber_chair</t>
  </si>
  <si>
    <t>1978.0119.36</t>
  </si>
  <si>
    <t>horn; trumpet, speaking</t>
  </si>
  <si>
    <t>CE.62.940M</t>
  </si>
  <si>
    <t>Bowl</t>
  </si>
  <si>
    <t>volcano</t>
  </si>
  <si>
    <t>custard_apple</t>
  </si>
  <si>
    <t>TE.T13390B</t>
  </si>
  <si>
    <t>Triangle</t>
  </si>
  <si>
    <t>CE.62.938C</t>
  </si>
  <si>
    <t>CE.234154</t>
  </si>
  <si>
    <t>glass, wine</t>
  </si>
  <si>
    <t>Stemware</t>
  </si>
  <si>
    <t>cocktail_shaker</t>
  </si>
  <si>
    <t>beaker</t>
  </si>
  <si>
    <t>CE.62.911</t>
  </si>
  <si>
    <t>DL.60.3800</t>
  </si>
  <si>
    <t>chromolithograph</t>
  </si>
  <si>
    <t>Postage stamp</t>
  </si>
  <si>
    <t>1991.0835.03</t>
  </si>
  <si>
    <t>flatiron</t>
  </si>
  <si>
    <t>Eyewear</t>
  </si>
  <si>
    <t>DL.037618</t>
  </si>
  <si>
    <t>knife, folding</t>
  </si>
  <si>
    <t>DL.61.0755</t>
  </si>
  <si>
    <t>1988.0508.02N</t>
  </si>
  <si>
    <t>Carton</t>
  </si>
  <si>
    <t>DL.257491.0026</t>
  </si>
  <si>
    <t>tin, tea</t>
  </si>
  <si>
    <t>DL.61.0315A</t>
  </si>
  <si>
    <t>bowl</t>
  </si>
  <si>
    <t>DL.257491.0060</t>
  </si>
  <si>
    <t>tin, percussion cap</t>
  </si>
  <si>
    <t>Rim</t>
  </si>
  <si>
    <t>1989.0715.05Hab</t>
  </si>
  <si>
    <t>cup; saucer</t>
  </si>
  <si>
    <t>Teacup</t>
  </si>
  <si>
    <t>Saucer</t>
  </si>
  <si>
    <t>espresso</t>
  </si>
  <si>
    <t>DL.366250J</t>
  </si>
  <si>
    <t>CE.P-504ab</t>
  </si>
  <si>
    <t>DL.62.0248</t>
  </si>
  <si>
    <t>1992.0125.01</t>
  </si>
  <si>
    <t>bucket</t>
  </si>
  <si>
    <t>1986.0531.106</t>
  </si>
  <si>
    <t>Machete</t>
  </si>
  <si>
    <t>Material property</t>
  </si>
  <si>
    <t>CE.61.065Ba</t>
  </si>
  <si>
    <t>trembleuse</t>
  </si>
  <si>
    <t>Coffee cup</t>
  </si>
  <si>
    <t>CL.298252.38</t>
  </si>
  <si>
    <t>basket, fanner</t>
  </si>
  <si>
    <t>Wicker</t>
  </si>
  <si>
    <t>hamper</t>
  </si>
  <si>
    <t>1978.0939.252</t>
  </si>
  <si>
    <t>andiron</t>
  </si>
  <si>
    <t>TE.E393749</t>
  </si>
  <si>
    <t>coverlet, figured</t>
  </si>
  <si>
    <t>purse</t>
  </si>
  <si>
    <t>dishrag</t>
  </si>
  <si>
    <t>DL.63.821</t>
  </si>
  <si>
    <t>CE.68.68Dab</t>
  </si>
  <si>
    <t>tureen</t>
  </si>
  <si>
    <t>DL.298065.0408</t>
  </si>
  <si>
    <t>Ornament</t>
  </si>
  <si>
    <t>1978.0119.12</t>
  </si>
  <si>
    <t>trunk</t>
  </si>
  <si>
    <t>Chest</t>
  </si>
  <si>
    <t>CE.62.906X</t>
  </si>
  <si>
    <t>quilt</t>
  </si>
  <si>
    <t>1990.0339.03</t>
  </si>
  <si>
    <t>shaker, spice</t>
  </si>
  <si>
    <t>beer_bottle</t>
  </si>
  <si>
    <t>DL.336823</t>
  </si>
  <si>
    <t>box, tobacco</t>
  </si>
  <si>
    <t>1978.0939.033</t>
  </si>
  <si>
    <t>spring balance</t>
  </si>
  <si>
    <t>1982.0154.15G</t>
  </si>
  <si>
    <t>DL.393771</t>
  </si>
  <si>
    <t>dish, covered</t>
  </si>
  <si>
    <t>CL.314494</t>
  </si>
  <si>
    <t>plaque</t>
  </si>
  <si>
    <t>mailbox</t>
  </si>
  <si>
    <t>CE.63.141</t>
  </si>
  <si>
    <t>1986.0531.167</t>
  </si>
  <si>
    <t>knife, dinner; cutlery, set, part of</t>
  </si>
  <si>
    <t>1982.0501.01ab</t>
  </si>
  <si>
    <t>jar</t>
  </si>
  <si>
    <t>Bangle</t>
  </si>
  <si>
    <t>1982.0154.18B</t>
  </si>
  <si>
    <t>DL.257491.0104</t>
  </si>
  <si>
    <t>canister, spice</t>
  </si>
  <si>
    <t>1988.3120.1</t>
  </si>
  <si>
    <t>mixer, food</t>
  </si>
  <si>
    <t>Mixer</t>
  </si>
  <si>
    <t>Kitchen appliance</t>
  </si>
  <si>
    <t>Small appliance</t>
  </si>
  <si>
    <t>espresso_maker</t>
  </si>
  <si>
    <t>1983.0566.21</t>
  </si>
  <si>
    <t>CE.320877.01abc</t>
  </si>
  <si>
    <t>jug, batter</t>
  </si>
  <si>
    <t>milk_can</t>
  </si>
  <si>
    <t>DL.242326.0003</t>
  </si>
  <si>
    <t>box, snuff</t>
  </si>
  <si>
    <t>Mouse</t>
  </si>
  <si>
    <t>1986.0531.181</t>
  </si>
  <si>
    <t>fork, dinner; cutlery, set, part of</t>
  </si>
  <si>
    <t>1986.0531.090</t>
  </si>
  <si>
    <t>Spatula</t>
  </si>
  <si>
    <t>2003.0274.002</t>
  </si>
  <si>
    <t>dress, 2-piece</t>
  </si>
  <si>
    <t>Day dress</t>
  </si>
  <si>
    <t>DL.298065.0332</t>
  </si>
  <si>
    <t>Pink</t>
  </si>
  <si>
    <t>hip</t>
  </si>
  <si>
    <t>pomegranate</t>
  </si>
  <si>
    <t>joystick</t>
  </si>
  <si>
    <t>1990.0135.04</t>
  </si>
  <si>
    <t>lamp</t>
  </si>
  <si>
    <t>Lamp</t>
  </si>
  <si>
    <t>Light fixture</t>
  </si>
  <si>
    <t>umbrella</t>
  </si>
  <si>
    <t>CE.62.917C</t>
  </si>
  <si>
    <t>bolo_tie</t>
  </si>
  <si>
    <t>CE.319884.3</t>
  </si>
  <si>
    <t>1978.2424.13</t>
  </si>
  <si>
    <t>DL.61.1011</t>
  </si>
  <si>
    <t>match safe</t>
  </si>
  <si>
    <t>police_van</t>
  </si>
  <si>
    <t>toaster</t>
  </si>
  <si>
    <t>CE.P-498ab</t>
  </si>
  <si>
    <t>DL.006551.01</t>
  </si>
  <si>
    <t>picture</t>
  </si>
  <si>
    <t>1977.0334.17A</t>
  </si>
  <si>
    <t>Kitchen utensil</t>
  </si>
  <si>
    <t>DL.251349.0183</t>
  </si>
  <si>
    <t>pan</t>
  </si>
  <si>
    <t>2013.0121.49</t>
  </si>
  <si>
    <t>Brown</t>
  </si>
  <si>
    <t>Rug</t>
  </si>
  <si>
    <t>rain_barrel</t>
  </si>
  <si>
    <t>crib</t>
  </si>
  <si>
    <t>1977.0334.08E</t>
  </si>
  <si>
    <t>DL.383560</t>
  </si>
  <si>
    <t>mug</t>
  </si>
  <si>
    <t>Jug</t>
  </si>
  <si>
    <t>Pitcher</t>
  </si>
  <si>
    <t>DL.306994.0051</t>
  </si>
  <si>
    <t>CE.388966</t>
  </si>
  <si>
    <t>linen smoother</t>
  </si>
  <si>
    <t>croquet_ball</t>
  </si>
  <si>
    <t>2005.0233.0296</t>
  </si>
  <si>
    <t>bucket, fire</t>
  </si>
  <si>
    <t>Bucket</t>
  </si>
  <si>
    <t>Bag</t>
  </si>
  <si>
    <t>shopping_basket</t>
  </si>
  <si>
    <t>CE.62.903B</t>
  </si>
  <si>
    <t>Purple</t>
  </si>
  <si>
    <t>CE.67.256B</t>
  </si>
  <si>
    <t>Duck</t>
  </si>
  <si>
    <t>Bird</t>
  </si>
  <si>
    <t>redshank</t>
  </si>
  <si>
    <t>red-breasted_merganser</t>
  </si>
  <si>
    <t>drake</t>
  </si>
  <si>
    <t>prairie_chicken</t>
  </si>
  <si>
    <t>hummingbird</t>
  </si>
  <si>
    <t>DL.59.2284B</t>
  </si>
  <si>
    <t>creamer</t>
  </si>
  <si>
    <t>1971.295669.416</t>
  </si>
  <si>
    <t>toy, truck, pickup</t>
  </si>
  <si>
    <t>Land vehicle</t>
  </si>
  <si>
    <t>Toy vehicle</t>
  </si>
  <si>
    <t>forklift</t>
  </si>
  <si>
    <t>oxcart</t>
  </si>
  <si>
    <t>jeep</t>
  </si>
  <si>
    <t>tow_truck</t>
  </si>
  <si>
    <t>DL.298065.0391</t>
  </si>
  <si>
    <t>Fruit</t>
  </si>
  <si>
    <t>DL.245425.0268</t>
  </si>
  <si>
    <t>cylinders, sausage, box of</t>
  </si>
  <si>
    <t>Cylinder</t>
  </si>
  <si>
    <t>abacus</t>
  </si>
  <si>
    <t>DL.257491.0031</t>
  </si>
  <si>
    <t>Electrical tape</t>
  </si>
  <si>
    <t>DL.59.1573</t>
  </si>
  <si>
    <t>warmer, foot</t>
  </si>
  <si>
    <t>DL.298065.0029</t>
  </si>
  <si>
    <t>DL.65.1430</t>
  </si>
  <si>
    <t>Crock_Pot</t>
  </si>
  <si>
    <t>1980.0024.01ab</t>
  </si>
  <si>
    <t>2001.0024.07Bab</t>
  </si>
  <si>
    <t>shaker, pepper</t>
  </si>
  <si>
    <t>Food storage containers</t>
  </si>
  <si>
    <t>pop_bottle</t>
  </si>
  <si>
    <t>DL.60.1064</t>
  </si>
  <si>
    <t>dish, fruit</t>
  </si>
  <si>
    <t>1983.0538.11</t>
  </si>
  <si>
    <t>Medicine and Science</t>
  </si>
  <si>
    <t>measuring_cup</t>
  </si>
  <si>
    <t>2007.0198.122</t>
  </si>
  <si>
    <t>biological; vaccine</t>
  </si>
  <si>
    <t>Service</t>
  </si>
  <si>
    <t>1980.0698.078</t>
  </si>
  <si>
    <t>otc preparation</t>
  </si>
  <si>
    <t>Bottle</t>
  </si>
  <si>
    <t>Seasoning</t>
  </si>
  <si>
    <t>gasmask</t>
  </si>
  <si>
    <t>CH.261314</t>
  </si>
  <si>
    <t>weight set</t>
  </si>
  <si>
    <t>CH.309585</t>
  </si>
  <si>
    <t>volumetric measure</t>
  </si>
  <si>
    <t>PH.317517</t>
  </si>
  <si>
    <t>print</t>
  </si>
  <si>
    <t>Visual arts</t>
  </si>
  <si>
    <t>barometer</t>
  </si>
  <si>
    <t>1984.0782.195</t>
  </si>
  <si>
    <t>otc preparation; deodorant</t>
  </si>
  <si>
    <t>Liquid</t>
  </si>
  <si>
    <t>Liqueur</t>
  </si>
  <si>
    <t>2005.0100.062</t>
  </si>
  <si>
    <t>personal hygiene product; cream, baby</t>
  </si>
  <si>
    <t>Orange</t>
  </si>
  <si>
    <t>CH.318268.10</t>
  </si>
  <si>
    <t>instrument for alcohol determination (stalagonometer)</t>
  </si>
  <si>
    <t>PH.314560</t>
  </si>
  <si>
    <t>thermometer</t>
  </si>
  <si>
    <t>1982.0043.033A</t>
  </si>
  <si>
    <t>biological; diagnostic, tuberculosis</t>
  </si>
  <si>
    <t>PH.314631</t>
  </si>
  <si>
    <t>vertical circle</t>
  </si>
  <si>
    <t>Scientific instrument</t>
  </si>
  <si>
    <t>Sewing machine</t>
  </si>
  <si>
    <t>PH.322763</t>
  </si>
  <si>
    <t>hydrometer</t>
  </si>
  <si>
    <t>PH.334152</t>
  </si>
  <si>
    <t>alluard hygrometer</t>
  </si>
  <si>
    <t>space_heater</t>
  </si>
  <si>
    <t>MG.M-10426.59</t>
  </si>
  <si>
    <t>2006.0098.1555</t>
  </si>
  <si>
    <t>toy boat</t>
  </si>
  <si>
    <t>Boat</t>
  </si>
  <si>
    <t>MG.293320.0785C</t>
  </si>
  <si>
    <t>biological, veterinary; diagnostic, glanders</t>
  </si>
  <si>
    <t>Pen</t>
  </si>
  <si>
    <t>centipede</t>
  </si>
  <si>
    <t>fountain_pen</t>
  </si>
  <si>
    <t>1997.0319.08</t>
  </si>
  <si>
    <t>color samples</t>
  </si>
  <si>
    <t>coil</t>
  </si>
  <si>
    <t>1978.0882.87</t>
  </si>
  <si>
    <t>biological; diagnostic, scarlet fever</t>
  </si>
  <si>
    <t>CH.317544.2</t>
  </si>
  <si>
    <t>Ammunition</t>
  </si>
  <si>
    <t>2003.0014.1103</t>
  </si>
  <si>
    <t>Badge</t>
  </si>
  <si>
    <t>CH.M-03234</t>
  </si>
  <si>
    <t>balance</t>
  </si>
  <si>
    <t>PH.284275</t>
  </si>
  <si>
    <t>hand level</t>
  </si>
  <si>
    <t>2006.0098.0319</t>
  </si>
  <si>
    <t>post card</t>
  </si>
  <si>
    <t>Botany</t>
  </si>
  <si>
    <t>Platter</t>
  </si>
  <si>
    <t>1982.0701.07</t>
  </si>
  <si>
    <t>transit</t>
  </si>
  <si>
    <t>American_lobster</t>
  </si>
  <si>
    <t>plow</t>
  </si>
  <si>
    <t>2008.0018.261</t>
  </si>
  <si>
    <t>sunscreen</t>
  </si>
  <si>
    <t>1982.0531.029</t>
  </si>
  <si>
    <t>contraceptive, oral</t>
  </si>
  <si>
    <t>pay-phone</t>
  </si>
  <si>
    <t>MG.293320.1310</t>
  </si>
  <si>
    <t>1985.0311.117</t>
  </si>
  <si>
    <t>Beaker</t>
  </si>
  <si>
    <t>1979.0798.182</t>
  </si>
  <si>
    <t>Snack</t>
  </si>
  <si>
    <t>1981.0589.035</t>
  </si>
  <si>
    <t>vitamin product; dietary supplement</t>
  </si>
  <si>
    <t>Acrylic paint</t>
  </si>
  <si>
    <t>Cream</t>
  </si>
  <si>
    <t>2008.0018.108</t>
  </si>
  <si>
    <t>CH.319063</t>
  </si>
  <si>
    <t>town weight</t>
  </si>
  <si>
    <t>Button</t>
  </si>
  <si>
    <t>1983.0056.02</t>
  </si>
  <si>
    <t>polytest, ikon</t>
  </si>
  <si>
    <t>tripod</t>
  </si>
  <si>
    <t>1984.0351.119</t>
  </si>
  <si>
    <t>Automotive lighting</t>
  </si>
  <si>
    <t>notebook</t>
  </si>
  <si>
    <t>racket</t>
  </si>
  <si>
    <t>CH.334323.4</t>
  </si>
  <si>
    <t>mealcheck</t>
  </si>
  <si>
    <t>MG.162080.01</t>
  </si>
  <si>
    <t>microscope</t>
  </si>
  <si>
    <t>Camera</t>
  </si>
  <si>
    <t>Cameras &amp; optics</t>
  </si>
  <si>
    <t>2016.0058.03</t>
  </si>
  <si>
    <t>geographic system</t>
  </si>
  <si>
    <t>PH.314637.02679</t>
  </si>
  <si>
    <t>diffraction grating</t>
  </si>
  <si>
    <t>1980.0698.093</t>
  </si>
  <si>
    <t>Packaging and labeling</t>
  </si>
  <si>
    <t>1979.0798.057</t>
  </si>
  <si>
    <t>1993.0398.02</t>
  </si>
  <si>
    <t>goniometer or spectroscope</t>
  </si>
  <si>
    <t>reel</t>
  </si>
  <si>
    <t>1979.0798.106</t>
  </si>
  <si>
    <t>MG.M-12151.09A</t>
  </si>
  <si>
    <t>Glass bottle</t>
  </si>
  <si>
    <t>CH.316233</t>
  </si>
  <si>
    <t>condenser, complex</t>
  </si>
  <si>
    <t>Wind turbine</t>
  </si>
  <si>
    <t>Stock photography</t>
  </si>
  <si>
    <t>2008.0018.163</t>
  </si>
  <si>
    <t>otc preparation; feminine hygiene product</t>
  </si>
  <si>
    <t>CH.337164</t>
  </si>
  <si>
    <t>cuvettes, round, spectrophotometer</t>
  </si>
  <si>
    <t>2006.0098.0473</t>
  </si>
  <si>
    <t>ZZ.RSN79627Z62</t>
  </si>
  <si>
    <t>CH.334337.165</t>
  </si>
  <si>
    <t>handle, straight razor</t>
  </si>
  <si>
    <t>MG.293320.1328</t>
  </si>
  <si>
    <t>Drink</t>
  </si>
  <si>
    <t>2004.0147.078</t>
  </si>
  <si>
    <t>food replica</t>
  </si>
  <si>
    <t>Cuisine</t>
  </si>
  <si>
    <t>Food</t>
  </si>
  <si>
    <t>Dish</t>
  </si>
  <si>
    <t>CH.333998.019</t>
  </si>
  <si>
    <t>graduate, apothecary</t>
  </si>
  <si>
    <t>CH.315358.03</t>
  </si>
  <si>
    <t>metal object</t>
  </si>
  <si>
    <t>1985.0311.241</t>
  </si>
  <si>
    <t>evaporating dish</t>
  </si>
  <si>
    <t>2006.0098.0335</t>
  </si>
  <si>
    <t>Coin purse</t>
  </si>
  <si>
    <t>1979.0798.174</t>
  </si>
  <si>
    <t>CH.334337.156</t>
  </si>
  <si>
    <t>Banana</t>
  </si>
  <si>
    <t>Banana family</t>
  </si>
  <si>
    <t>1984.0351.037</t>
  </si>
  <si>
    <t>Vegetarian food</t>
  </si>
  <si>
    <t>1985.0311.424</t>
  </si>
  <si>
    <t>apparatus support</t>
  </si>
  <si>
    <t>PH.327704</t>
  </si>
  <si>
    <t>eyepiece, telescope</t>
  </si>
  <si>
    <t>2006.0098.0763</t>
  </si>
  <si>
    <t>pin</t>
  </si>
  <si>
    <t>2011.0240.16</t>
  </si>
  <si>
    <t>science kit</t>
  </si>
  <si>
    <t>CH.337120</t>
  </si>
  <si>
    <t>weights</t>
  </si>
  <si>
    <t>MG.M-12151.01</t>
  </si>
  <si>
    <t>Perfume</t>
  </si>
  <si>
    <t>2004.0129.29</t>
  </si>
  <si>
    <t>feminine hygiene product; sanitary napkins</t>
  </si>
  <si>
    <t>2005.0100.065</t>
  </si>
  <si>
    <t>CH.323506</t>
  </si>
  <si>
    <t>weights and measures - demonstration apparatus</t>
  </si>
  <si>
    <t>MG.M-11465.10</t>
  </si>
  <si>
    <t>personal hygiene product; soap</t>
  </si>
  <si>
    <t>2006.0085.01</t>
  </si>
  <si>
    <t>2005.3080.04</t>
  </si>
  <si>
    <t>quarantine sign, diphtheria</t>
  </si>
  <si>
    <t>CH.315121.064</t>
  </si>
  <si>
    <t>test tube</t>
  </si>
  <si>
    <t>file</t>
  </si>
  <si>
    <t>2006.0098.1026</t>
  </si>
  <si>
    <t>2013.0088.07</t>
  </si>
  <si>
    <t>colony transfer device</t>
  </si>
  <si>
    <t>Concrete</t>
  </si>
  <si>
    <t>Column</t>
  </si>
  <si>
    <t>Scale model</t>
  </si>
  <si>
    <t>1992.0566.01</t>
  </si>
  <si>
    <t>circuit board</t>
  </si>
  <si>
    <t>Circuit component</t>
  </si>
  <si>
    <t>PH.329190</t>
  </si>
  <si>
    <t>home_theater</t>
  </si>
  <si>
    <t>1997.0319.43</t>
  </si>
  <si>
    <t>2006.0098.0632</t>
  </si>
  <si>
    <t>game counter; scorer</t>
  </si>
  <si>
    <t>CH.334543</t>
  </si>
  <si>
    <t>butternut_squash</t>
  </si>
  <si>
    <t>2006.0098.0485</t>
  </si>
  <si>
    <t>2006.0098.0286</t>
  </si>
  <si>
    <t>Violet</t>
  </si>
  <si>
    <t>1978.0882.04</t>
  </si>
  <si>
    <t>biological; vaccine, typhoid-paratyphoid</t>
  </si>
  <si>
    <t>2013.0077.10</t>
  </si>
  <si>
    <t>fragrance, sample</t>
  </si>
  <si>
    <t>MG.M-10426.32</t>
  </si>
  <si>
    <t>1996.0350.01</t>
  </si>
  <si>
    <t>compass</t>
  </si>
  <si>
    <t>MG.293320.1459</t>
  </si>
  <si>
    <t>2014.0247.25</t>
  </si>
  <si>
    <t>diagnostic; enzyme immunoassay (demonstration device)</t>
  </si>
  <si>
    <t>1989.3082.06</t>
  </si>
  <si>
    <t>resource material</t>
  </si>
  <si>
    <t>PH.335531</t>
  </si>
  <si>
    <t>surveyor's vernier compass</t>
  </si>
  <si>
    <t>Watch</t>
  </si>
  <si>
    <t>CH.318498.021</t>
  </si>
  <si>
    <t>celluloid plastic</t>
  </si>
  <si>
    <t>Soap</t>
  </si>
  <si>
    <t>Banknote</t>
  </si>
  <si>
    <t>1979.0798.537</t>
  </si>
  <si>
    <t>personal hygiene product; hair net</t>
  </si>
  <si>
    <t>PH.333761</t>
  </si>
  <si>
    <t>omnimeter</t>
  </si>
  <si>
    <t>2006.0098.1041</t>
  </si>
  <si>
    <t>luggage tag</t>
  </si>
  <si>
    <t>2006.0098.0747</t>
  </si>
  <si>
    <t>sign</t>
  </si>
  <si>
    <t>1995.3017.01.44</t>
  </si>
  <si>
    <t>lantern slide</t>
  </si>
  <si>
    <t>2006.0098.1249</t>
  </si>
  <si>
    <t>straight razor</t>
  </si>
  <si>
    <t>sea_cucumber</t>
  </si>
  <si>
    <t>2010.0130.05</t>
  </si>
  <si>
    <t>button; disability awareness</t>
  </si>
  <si>
    <t>Pin-back button</t>
  </si>
  <si>
    <t>PH.334153</t>
  </si>
  <si>
    <t>psychrometer</t>
  </si>
  <si>
    <t>1985.0475.257</t>
  </si>
  <si>
    <t>hair care product; conditioner, hair; hair dressing</t>
  </si>
  <si>
    <t>PH.336601</t>
  </si>
  <si>
    <t>level (wye)</t>
  </si>
  <si>
    <t>Optical instrument</t>
  </si>
  <si>
    <t>1980.0698.039</t>
  </si>
  <si>
    <t>2016.5005.0375</t>
  </si>
  <si>
    <t>correspondence</t>
  </si>
  <si>
    <t>bubble</t>
  </si>
  <si>
    <t>PH.314538</t>
  </si>
  <si>
    <t>rain gauge register</t>
  </si>
  <si>
    <t>printer</t>
  </si>
  <si>
    <t>MG.293320.1381</t>
  </si>
  <si>
    <t>MG.M-10413.47</t>
  </si>
  <si>
    <t>Collection</t>
  </si>
  <si>
    <t>MG.M-07336</t>
  </si>
  <si>
    <t>biological; vaccinator</t>
  </si>
  <si>
    <t>Ball pen</t>
  </si>
  <si>
    <t>2006.0098.0823</t>
  </si>
  <si>
    <t>pendant</t>
  </si>
  <si>
    <t>Cable</t>
  </si>
  <si>
    <t>stethoscope</t>
  </si>
  <si>
    <t>PH.392869 A</t>
  </si>
  <si>
    <t>globe, celestial</t>
  </si>
  <si>
    <t>barrow</t>
  </si>
  <si>
    <t>2006.0098.0002</t>
  </si>
  <si>
    <t>trade card</t>
  </si>
  <si>
    <t>PH.322311</t>
  </si>
  <si>
    <t>radiosonde</t>
  </si>
  <si>
    <t>MA.309654</t>
  </si>
  <si>
    <t>drawing instruments, set of</t>
  </si>
  <si>
    <t>tape_player</t>
  </si>
  <si>
    <t>cassette_player</t>
  </si>
  <si>
    <t>MA.323617</t>
  </si>
  <si>
    <t>adding machine</t>
  </si>
  <si>
    <t>2006.0098.0199</t>
  </si>
  <si>
    <t>novelty</t>
  </si>
  <si>
    <t>2006.0098.1355</t>
  </si>
  <si>
    <t>notebook; chemist's handbook</t>
  </si>
  <si>
    <t>2012.0165.170.01</t>
  </si>
  <si>
    <t>tracing, ekg</t>
  </si>
  <si>
    <t>1980.0597.47</t>
  </si>
  <si>
    <t>dye</t>
  </si>
  <si>
    <t>remote_control</t>
  </si>
  <si>
    <t>1993.0331.018</t>
  </si>
  <si>
    <t>biological, veterinary; vaccine, blackleg, bovine, ovine</t>
  </si>
  <si>
    <t>Solvent</t>
  </si>
  <si>
    <t>2006.0098.1287</t>
  </si>
  <si>
    <t>badge</t>
  </si>
  <si>
    <t>PH.314581.2</t>
  </si>
  <si>
    <t>sonorous figure plates</t>
  </si>
  <si>
    <t>pinwheel</t>
  </si>
  <si>
    <t>MG.293320.1332</t>
  </si>
  <si>
    <t>Chemical compound</t>
  </si>
  <si>
    <t>NU.69.128.242</t>
  </si>
  <si>
    <t>Numismatics</t>
  </si>
  <si>
    <t>coin</t>
  </si>
  <si>
    <t>NU.68.159.1151</t>
  </si>
  <si>
    <t>ingot</t>
  </si>
  <si>
    <t>padlock</t>
  </si>
  <si>
    <t>2009.0005.010</t>
  </si>
  <si>
    <t>Leaf</t>
  </si>
  <si>
    <t>NU.72.66.36</t>
  </si>
  <si>
    <t>credit card</t>
  </si>
  <si>
    <t>Leather</t>
  </si>
  <si>
    <t>1985.0441.0609</t>
  </si>
  <si>
    <t>Coin</t>
  </si>
  <si>
    <t>Money</t>
  </si>
  <si>
    <t>Currency</t>
  </si>
  <si>
    <t>2009.0005.023</t>
  </si>
  <si>
    <t>Australian_terrier</t>
  </si>
  <si>
    <t>2013.0023.006</t>
  </si>
  <si>
    <t>token</t>
  </si>
  <si>
    <t>2009.0005.027</t>
  </si>
  <si>
    <t>Relief</t>
  </si>
  <si>
    <t>NU.71.167.45</t>
  </si>
  <si>
    <t>2009.0005.014</t>
  </si>
  <si>
    <t>House</t>
  </si>
  <si>
    <t>2009.0005.011</t>
  </si>
  <si>
    <t>Sketch</t>
  </si>
  <si>
    <t>1979.1263.00467</t>
  </si>
  <si>
    <t>alternative currency</t>
  </si>
  <si>
    <t>NU.79.112.01089</t>
  </si>
  <si>
    <t>electric_ray</t>
  </si>
  <si>
    <t>2016.0056.019</t>
  </si>
  <si>
    <t>2009.0005.033</t>
  </si>
  <si>
    <t>article</t>
  </si>
  <si>
    <t>Newspaper</t>
  </si>
  <si>
    <t>NU.69.128.403</t>
  </si>
  <si>
    <t>Petri_dish</t>
  </si>
  <si>
    <t>2009.0005.017</t>
  </si>
  <si>
    <t>2009.0005.013</t>
  </si>
  <si>
    <t>NU.NU93429</t>
  </si>
  <si>
    <t>2009.0005.022</t>
  </si>
  <si>
    <t>2009.0005.020</t>
  </si>
  <si>
    <t>2009.0005.030</t>
  </si>
  <si>
    <t>2009.0005.035</t>
  </si>
  <si>
    <t>sketch</t>
  </si>
  <si>
    <t>NU.NU69687.03</t>
  </si>
  <si>
    <t>Medal</t>
  </si>
  <si>
    <t>Copper</t>
  </si>
  <si>
    <t>2009.0005.009</t>
  </si>
  <si>
    <t>2016.0056.010</t>
  </si>
  <si>
    <t>note</t>
  </si>
  <si>
    <t>Cash</t>
  </si>
  <si>
    <t>2009.0005.007</t>
  </si>
  <si>
    <t>manhole_cover</t>
  </si>
  <si>
    <t>2009.0005.015</t>
  </si>
  <si>
    <t>NU.68.159.5757</t>
  </si>
  <si>
    <t>2009.0005.031</t>
  </si>
  <si>
    <t>Newsprint</t>
  </si>
  <si>
    <t>2009.0005.032</t>
  </si>
  <si>
    <t>NU.67.98136</t>
  </si>
  <si>
    <t>2016.0056.018</t>
  </si>
  <si>
    <t>2009.0005.021</t>
  </si>
  <si>
    <t>NU.NU83663-3</t>
  </si>
  <si>
    <t>1993.0343.10</t>
  </si>
  <si>
    <t>Political History</t>
  </si>
  <si>
    <t>Banner</t>
  </si>
  <si>
    <t>moving_van</t>
  </si>
  <si>
    <t>1983.0418.01</t>
  </si>
  <si>
    <t>fence rail</t>
  </si>
  <si>
    <t>Brick</t>
  </si>
  <si>
    <t>PL.307668.141</t>
  </si>
  <si>
    <t>bottle cap</t>
  </si>
  <si>
    <t>2001.0306.09</t>
  </si>
  <si>
    <t>lemon</t>
  </si>
  <si>
    <t>guacamole</t>
  </si>
  <si>
    <t>PL.299495.13.A</t>
  </si>
  <si>
    <t>t-shirt</t>
  </si>
  <si>
    <t>T-shirt</t>
  </si>
  <si>
    <t>jean</t>
  </si>
  <si>
    <t>1983.0546.11</t>
  </si>
  <si>
    <t>Tote bag</t>
  </si>
  <si>
    <t>Handbag</t>
  </si>
  <si>
    <t>1988.0825.09</t>
  </si>
  <si>
    <t>diary, television viewing</t>
  </si>
  <si>
    <t>2006.0212.01</t>
  </si>
  <si>
    <t>PL.235052.01</t>
  </si>
  <si>
    <t>cornerstone piece</t>
  </si>
  <si>
    <t>Sail</t>
  </si>
  <si>
    <t>PL.279881.22</t>
  </si>
  <si>
    <t>1988.0520.053</t>
  </si>
  <si>
    <t>Crest</t>
  </si>
  <si>
    <t>COLL.ALSUIT.005004</t>
  </si>
  <si>
    <t>Coat</t>
  </si>
  <si>
    <t>fur_coat</t>
  </si>
  <si>
    <t>PL.227739.1841.K01</t>
  </si>
  <si>
    <t>pamphlet</t>
  </si>
  <si>
    <t>Facial hair</t>
  </si>
  <si>
    <t>2005.0290.02</t>
  </si>
  <si>
    <t>PL.297600.062</t>
  </si>
  <si>
    <t>Square</t>
  </si>
  <si>
    <t>2001.0092.03</t>
  </si>
  <si>
    <t>magnifying glass</t>
  </si>
  <si>
    <t>Magnifier</t>
  </si>
  <si>
    <t>Makeup mirror</t>
  </si>
  <si>
    <t>1987.0165.041</t>
  </si>
  <si>
    <t>bracelet, charm</t>
  </si>
  <si>
    <t>PL.227739.1884.M03</t>
  </si>
  <si>
    <t>cartoon</t>
  </si>
  <si>
    <t>2001.0305.01</t>
  </si>
  <si>
    <t>ballot box</t>
  </si>
  <si>
    <t>2015.0200.167</t>
  </si>
  <si>
    <t>noisemaker</t>
  </si>
  <si>
    <t>2015.0200.047</t>
  </si>
  <si>
    <t>Household supply</t>
  </si>
  <si>
    <t>Household cleaning supply</t>
  </si>
  <si>
    <t>2006.0110.001</t>
  </si>
  <si>
    <t>PL.227739.1952.K042</t>
  </si>
  <si>
    <t>PL.032197</t>
  </si>
  <si>
    <t>tie fragment, railroad</t>
  </si>
  <si>
    <t>broom</t>
  </si>
  <si>
    <t>2001.0089.01</t>
  </si>
  <si>
    <t>ballot</t>
  </si>
  <si>
    <t>2006.0251.01</t>
  </si>
  <si>
    <t>airliner</t>
  </si>
  <si>
    <t>PL.245215.01</t>
  </si>
  <si>
    <t>Steel</t>
  </si>
  <si>
    <t>PL.227739.1908.O2</t>
  </si>
  <si>
    <t>donkey, metal</t>
  </si>
  <si>
    <t>Animal figure</t>
  </si>
  <si>
    <t>Burro</t>
  </si>
  <si>
    <t>Toy</t>
  </si>
  <si>
    <t>ibex</t>
  </si>
  <si>
    <t>Mexican_hairless</t>
  </si>
  <si>
    <t>Great_Dane</t>
  </si>
  <si>
    <t>1977.0800.01</t>
  </si>
  <si>
    <t>Pendant</t>
  </si>
  <si>
    <t>crane</t>
  </si>
  <si>
    <t>1997.0040.01</t>
  </si>
  <si>
    <t>Signage</t>
  </si>
  <si>
    <t>2009.0245.144</t>
  </si>
  <si>
    <t>pot</t>
  </si>
  <si>
    <t>1996.0168.01</t>
  </si>
  <si>
    <t>Drum</t>
  </si>
  <si>
    <t>PL.254858.02</t>
  </si>
  <si>
    <t>tie bar</t>
  </si>
  <si>
    <t>aircraft_carrier</t>
  </si>
  <si>
    <t>PL.227739.1896.D12</t>
  </si>
  <si>
    <t>PL.219098.09</t>
  </si>
  <si>
    <t>PL.015386.14</t>
  </si>
  <si>
    <t>hat, parade</t>
  </si>
  <si>
    <t>Helmet</t>
  </si>
  <si>
    <t>bonnet</t>
  </si>
  <si>
    <t>sleeping_bag</t>
  </si>
  <si>
    <t>2014.0096.006</t>
  </si>
  <si>
    <t>2016.0023.01</t>
  </si>
  <si>
    <t>PL.227739.1960.X045</t>
  </si>
  <si>
    <t>shopping bag</t>
  </si>
  <si>
    <t>Shopping bag</t>
  </si>
  <si>
    <t>Paper bag</t>
  </si>
  <si>
    <t>PL.293320 [dup21]</t>
  </si>
  <si>
    <t>PL.259159</t>
  </si>
  <si>
    <t>can opener</t>
  </si>
  <si>
    <t>2015.0200.043</t>
  </si>
  <si>
    <t>PL.227739.1876.I02</t>
  </si>
  <si>
    <t>1978.2135.04</t>
  </si>
  <si>
    <t>Keychain</t>
  </si>
  <si>
    <t>PL.227739.1840.E16</t>
  </si>
  <si>
    <t>1979.0764.47</t>
  </si>
  <si>
    <t>1984.1081.182</t>
  </si>
  <si>
    <t>PL.314098.04</t>
  </si>
  <si>
    <t>PL.227739.1863.F03</t>
  </si>
  <si>
    <t>broadside, illuminated</t>
  </si>
  <si>
    <t>PL.305360.101</t>
  </si>
  <si>
    <t>newspaper</t>
  </si>
  <si>
    <t>2015.0200.050</t>
  </si>
  <si>
    <t>Turquoise</t>
  </si>
  <si>
    <t>PL.225292.11</t>
  </si>
  <si>
    <t>PL.299495.08.C</t>
  </si>
  <si>
    <t>Shoulder bag</t>
  </si>
  <si>
    <t>muzzle</t>
  </si>
  <si>
    <t>2003.0317.092</t>
  </si>
  <si>
    <t>1987.0165.042</t>
  </si>
  <si>
    <t>Body jewelry</t>
  </si>
  <si>
    <t>PL.303680.03</t>
  </si>
  <si>
    <t>PL.301427.01</t>
  </si>
  <si>
    <t>tobacco_shop</t>
  </si>
  <si>
    <t>1983.0089.15</t>
  </si>
  <si>
    <t>PL.012058</t>
  </si>
  <si>
    <t>rock fragment</t>
  </si>
  <si>
    <t>Igneous rock</t>
  </si>
  <si>
    <t>Geology</t>
  </si>
  <si>
    <t>megalith</t>
  </si>
  <si>
    <t>1987.0165.040</t>
  </si>
  <si>
    <t>PL.004853</t>
  </si>
  <si>
    <t>mask, life</t>
  </si>
  <si>
    <t>2010.0068.03</t>
  </si>
  <si>
    <t>knee_pad</t>
  </si>
  <si>
    <t>PL.227739.1884.D14</t>
  </si>
  <si>
    <t>1980.0606.016</t>
  </si>
  <si>
    <t>postcard</t>
  </si>
  <si>
    <t>PL.227739.1960.X021</t>
  </si>
  <si>
    <t>comb</t>
  </si>
  <si>
    <t>Comb</t>
  </si>
  <si>
    <t>PL.297602.04</t>
  </si>
  <si>
    <t>poll book</t>
  </si>
  <si>
    <t>PL.299445.08</t>
  </si>
  <si>
    <t>poster, The Student Vote</t>
  </si>
  <si>
    <t>PL.307171.01</t>
  </si>
  <si>
    <t>2015.0200.140</t>
  </si>
  <si>
    <t>butcher_shop</t>
  </si>
  <si>
    <t>2011.0036.01</t>
  </si>
  <si>
    <t>calling card</t>
  </si>
  <si>
    <t>1977.0979.19</t>
  </si>
  <si>
    <t>2015.0200.040</t>
  </si>
  <si>
    <t>doll</t>
  </si>
  <si>
    <t>Doll</t>
  </si>
  <si>
    <t>Stuffed toy</t>
  </si>
  <si>
    <t>teddy</t>
  </si>
  <si>
    <t>totem_pole</t>
  </si>
  <si>
    <t>PL.227739.1896.X14</t>
  </si>
  <si>
    <t>rosette</t>
  </si>
  <si>
    <t>2014.0096.012</t>
  </si>
  <si>
    <t>2011.0036.07</t>
  </si>
  <si>
    <t>buckeye</t>
  </si>
  <si>
    <t>2011.0058.11</t>
  </si>
  <si>
    <t>sticker</t>
  </si>
  <si>
    <t>PL.227739.1834.B03</t>
  </si>
  <si>
    <t>1981.0587.12</t>
  </si>
  <si>
    <t>pen</t>
  </si>
  <si>
    <t>Feather</t>
  </si>
  <si>
    <t>Quill</t>
  </si>
  <si>
    <t>banana</t>
  </si>
  <si>
    <t>1979.0520.02</t>
  </si>
  <si>
    <t>PL.241839.08</t>
  </si>
  <si>
    <t>bust</t>
  </si>
  <si>
    <t>Classical sculpture</t>
  </si>
  <si>
    <t>PL.299448.53</t>
  </si>
  <si>
    <t>Hand</t>
  </si>
  <si>
    <t>1978.2117.01</t>
  </si>
  <si>
    <t>print, cartoon</t>
  </si>
  <si>
    <t>1991.3016.587</t>
  </si>
  <si>
    <t>magazines</t>
  </si>
  <si>
    <t>PL.039765</t>
  </si>
  <si>
    <t>towel</t>
  </si>
  <si>
    <t>PL.286409.03</t>
  </si>
  <si>
    <t>certificate, appointment</t>
  </si>
  <si>
    <t>2015.0200.048</t>
  </si>
  <si>
    <t>1979.0054.01</t>
  </si>
  <si>
    <t>electoral ticket</t>
  </si>
  <si>
    <t>2015.0200.128</t>
  </si>
  <si>
    <t>1991.3016.075</t>
  </si>
  <si>
    <t>Human settlement</t>
  </si>
  <si>
    <t>picket_fence</t>
  </si>
  <si>
    <t>gondola</t>
  </si>
  <si>
    <t>pier</t>
  </si>
  <si>
    <t>dock</t>
  </si>
  <si>
    <t>PL.227739.1834.B02</t>
  </si>
  <si>
    <t>PL.227739.1864.B50</t>
  </si>
  <si>
    <t>PL.227739.1860.T14</t>
  </si>
  <si>
    <t>1978.2132.03</t>
  </si>
  <si>
    <t>bumper sticker</t>
  </si>
  <si>
    <t>oscilloscope</t>
  </si>
  <si>
    <t>ski</t>
  </si>
  <si>
    <t>1986.0664.03</t>
  </si>
  <si>
    <t>audimeter</t>
  </si>
  <si>
    <t>1978.1093.13</t>
  </si>
  <si>
    <t>1996.0113.01</t>
  </si>
  <si>
    <t>1997.0388.72</t>
  </si>
  <si>
    <t>Work and Industry</t>
  </si>
  <si>
    <t>incandescent lamp</t>
  </si>
  <si>
    <t>Finial</t>
  </si>
  <si>
    <t>2016.5004.0293</t>
  </si>
  <si>
    <t>parts</t>
  </si>
  <si>
    <t>ME.333746</t>
  </si>
  <si>
    <t>typewriter</t>
  </si>
  <si>
    <t>Typewriter</t>
  </si>
  <si>
    <t>2000.0101.01</t>
  </si>
  <si>
    <t>answering machine</t>
  </si>
  <si>
    <t>MC.314686.0520</t>
  </si>
  <si>
    <t>buckle, slide</t>
  </si>
  <si>
    <t>pretzel</t>
  </si>
  <si>
    <t>MC.314686.0045</t>
  </si>
  <si>
    <t>MC.314686.0908</t>
  </si>
  <si>
    <t>buckle, clasp</t>
  </si>
  <si>
    <t>TR.330156</t>
  </si>
  <si>
    <t>bicycle</t>
  </si>
  <si>
    <t>Bicycle wheel</t>
  </si>
  <si>
    <t>Bicycle part</t>
  </si>
  <si>
    <t>Bicycle tire</t>
  </si>
  <si>
    <t>1984.0314.03</t>
  </si>
  <si>
    <t>Light</t>
  </si>
  <si>
    <t>1993.0188.050</t>
  </si>
  <si>
    <t>MC.320555</t>
  </si>
  <si>
    <t>indicator, steam engine</t>
  </si>
  <si>
    <t>EM.238520</t>
  </si>
  <si>
    <t>telegraph message</t>
  </si>
  <si>
    <t>MC.316796</t>
  </si>
  <si>
    <t>ME.334776</t>
  </si>
  <si>
    <t>1987.0927.01</t>
  </si>
  <si>
    <t>tape recorder</t>
  </si>
  <si>
    <t>desktop_computer</t>
  </si>
  <si>
    <t>EM.321111</t>
  </si>
  <si>
    <t>radio tester</t>
  </si>
  <si>
    <t>TR.316958</t>
  </si>
  <si>
    <t>Engine</t>
  </si>
  <si>
    <t>Automotive engine part</t>
  </si>
  <si>
    <t>MC.314686.0746</t>
  </si>
  <si>
    <t>MC.314686.0144</t>
  </si>
  <si>
    <t>buckle, flip lock</t>
  </si>
  <si>
    <t>Buckle</t>
  </si>
  <si>
    <t>Belt buckle</t>
  </si>
  <si>
    <t>MC.314686.0817</t>
  </si>
  <si>
    <t>MC.314686.0337</t>
  </si>
  <si>
    <t>buckle frame</t>
  </si>
  <si>
    <t>MC.314686.0136</t>
  </si>
  <si>
    <t>buckle, one prong</t>
  </si>
  <si>
    <t>knot</t>
  </si>
  <si>
    <t>MC.314686.0025</t>
  </si>
  <si>
    <t>buckle, six prongs</t>
  </si>
  <si>
    <t>MC.314686.0640</t>
  </si>
  <si>
    <t>TR.180226</t>
  </si>
  <si>
    <t>rail, t</t>
  </si>
  <si>
    <t>1991.0324.02A</t>
  </si>
  <si>
    <t>ratchet gun, tartar sauce</t>
  </si>
  <si>
    <t>MC.314686.0215</t>
  </si>
  <si>
    <t>MC.314686.0571</t>
  </si>
  <si>
    <t>Wall</t>
  </si>
  <si>
    <t>MC.314686.0055</t>
  </si>
  <si>
    <t>MC.314686.0114</t>
  </si>
  <si>
    <t>2011.0073.08</t>
  </si>
  <si>
    <t>robot, network</t>
  </si>
  <si>
    <t>Tractor</t>
  </si>
  <si>
    <t>tractor</t>
  </si>
  <si>
    <t>MC.314686.0535</t>
  </si>
  <si>
    <t>MC.314686.0051</t>
  </si>
  <si>
    <t>MC.314686.0151</t>
  </si>
  <si>
    <t>Graphics</t>
  </si>
  <si>
    <t>MC.314686.0585</t>
  </si>
  <si>
    <t>EM.313149</t>
  </si>
  <si>
    <t>telegraph relay</t>
  </si>
  <si>
    <t>MC.314686.0526</t>
  </si>
  <si>
    <t>2014.3100.09</t>
  </si>
  <si>
    <t>MC.314686.0636</t>
  </si>
  <si>
    <t>football_helmet</t>
  </si>
  <si>
    <t>2008.0187.09</t>
  </si>
  <si>
    <t>key ring</t>
  </si>
  <si>
    <t>MC.314686.0754</t>
  </si>
  <si>
    <t>2000.0224.01</t>
  </si>
  <si>
    <t>MC.314686.0346</t>
  </si>
  <si>
    <t>MC.314686.0069</t>
  </si>
  <si>
    <t>buckle, two prongs</t>
  </si>
  <si>
    <t>MC.314686.0310</t>
  </si>
  <si>
    <t>EM.315892.03</t>
  </si>
  <si>
    <t>telegraph register</t>
  </si>
  <si>
    <t>Sofa tables</t>
  </si>
  <si>
    <t>four-poster</t>
  </si>
  <si>
    <t>EM.318571</t>
  </si>
  <si>
    <t>2013.0285.01</t>
  </si>
  <si>
    <t>cross</t>
  </si>
  <si>
    <t>Religious item</t>
  </si>
  <si>
    <t>Cross</t>
  </si>
  <si>
    <t>1989.0657.02</t>
  </si>
  <si>
    <t>radio receiver</t>
  </si>
  <si>
    <t>MC.314686.0618</t>
  </si>
  <si>
    <t>maze</t>
  </si>
  <si>
    <t>EM.326479</t>
  </si>
  <si>
    <t>electrostatic generator</t>
  </si>
  <si>
    <t>2014.0058.03</t>
  </si>
  <si>
    <t>telegraph sounder; telegraph key</t>
  </si>
  <si>
    <t>EM.314489</t>
  </si>
  <si>
    <t>2009.0125.02</t>
  </si>
  <si>
    <t>suitcase</t>
  </si>
  <si>
    <t>MC.314686.0122</t>
  </si>
  <si>
    <t>MC.314686.0363</t>
  </si>
  <si>
    <t>MC.314686.0684</t>
  </si>
  <si>
    <t>MC.314686.0242</t>
  </si>
  <si>
    <t>MC.314686.0134</t>
  </si>
  <si>
    <t>MC.314686.0415</t>
  </si>
  <si>
    <t>1988.0179.01</t>
  </si>
  <si>
    <t>1987.0265.01</t>
  </si>
  <si>
    <t>tv dinner tray</t>
  </si>
  <si>
    <t>Serving tray</t>
  </si>
  <si>
    <t>MC.314686.0402</t>
  </si>
  <si>
    <t>EM.310423</t>
  </si>
  <si>
    <t>Carving</t>
  </si>
  <si>
    <t>MC.314686.0141</t>
  </si>
  <si>
    <t>1984.0416.033</t>
  </si>
  <si>
    <t>pillar and scroll clock</t>
  </si>
  <si>
    <t>Clock</t>
  </si>
  <si>
    <t>Wall clock</t>
  </si>
  <si>
    <t>Home accessories</t>
  </si>
  <si>
    <t>2002.0034.01</t>
  </si>
  <si>
    <t>wire recorder</t>
  </si>
  <si>
    <t>Toaster</t>
  </si>
  <si>
    <t>2001.0033.05</t>
  </si>
  <si>
    <t>discharge lamp</t>
  </si>
  <si>
    <t>AG.66A09</t>
  </si>
  <si>
    <t>tractor, fordson</t>
  </si>
  <si>
    <t>Motor vehicle</t>
  </si>
  <si>
    <t>MC.314686.0413</t>
  </si>
  <si>
    <t>MC.314686.0609</t>
  </si>
  <si>
    <t>MC.314686.0064</t>
  </si>
  <si>
    <t>2015.3087.01</t>
  </si>
  <si>
    <t>ad</t>
  </si>
  <si>
    <t>MC.314686.0196</t>
  </si>
  <si>
    <t>2010.0043.438</t>
  </si>
  <si>
    <t>lead ingot</t>
  </si>
  <si>
    <t>1991.0324.03</t>
  </si>
  <si>
    <t>scoop, french fry</t>
  </si>
  <si>
    <t>Nozzle</t>
  </si>
  <si>
    <t>MC.314686.0071</t>
  </si>
  <si>
    <t>EM.332366</t>
  </si>
  <si>
    <t>telegraph sounder</t>
  </si>
  <si>
    <t>Scale</t>
  </si>
  <si>
    <t>MC.314686.0172</t>
  </si>
  <si>
    <t>prison</t>
  </si>
  <si>
    <t>2013.0259.01</t>
  </si>
  <si>
    <t>windmill model</t>
  </si>
  <si>
    <t>Windmill</t>
  </si>
  <si>
    <t>2010.0125.05</t>
  </si>
  <si>
    <t>MC.314686.0282</t>
  </si>
  <si>
    <t>MC.314686.0839</t>
  </si>
  <si>
    <t>MC.314686.0714</t>
  </si>
  <si>
    <t>bagel</t>
  </si>
  <si>
    <t>MC.314686.0186</t>
  </si>
  <si>
    <t>2014.0122.03</t>
  </si>
  <si>
    <t>battery component</t>
  </si>
  <si>
    <t>Cosmetics</t>
  </si>
  <si>
    <t>vending_machine</t>
  </si>
  <si>
    <t>turnstile</t>
  </si>
  <si>
    <t>MC.314686.0692</t>
  </si>
  <si>
    <t>MC.314686.0191</t>
  </si>
  <si>
    <t>1997.0388.81</t>
  </si>
  <si>
    <t>MC.314686.0927</t>
  </si>
  <si>
    <t>Window</t>
  </si>
  <si>
    <t>MC.314686.0043</t>
  </si>
  <si>
    <t>MC.314686.0903</t>
  </si>
  <si>
    <t>MC.314686.0864</t>
  </si>
  <si>
    <t>buckle piece</t>
  </si>
  <si>
    <t>Brooch</t>
  </si>
  <si>
    <t>Petal</t>
  </si>
  <si>
    <t>earthstar</t>
  </si>
  <si>
    <t>MC.325992</t>
  </si>
  <si>
    <t>Trunk</t>
  </si>
  <si>
    <t>Still life photography</t>
  </si>
  <si>
    <t>MC.314686.0882</t>
  </si>
  <si>
    <t>1990.0294.08</t>
  </si>
  <si>
    <t>match case</t>
  </si>
  <si>
    <t>MC.314686.0394</t>
  </si>
  <si>
    <t>2015.3022.04</t>
  </si>
  <si>
    <t>2003.0231.17</t>
  </si>
  <si>
    <t>transistors</t>
  </si>
  <si>
    <t>1989.0259.348</t>
  </si>
  <si>
    <t>tool chest, machinist</t>
  </si>
  <si>
    <t>EM.330823</t>
  </si>
  <si>
    <t>harp</t>
  </si>
  <si>
    <t>MC.314686.0791</t>
  </si>
  <si>
    <t>1981.0217.03</t>
  </si>
  <si>
    <t>2014.0320.02</t>
  </si>
  <si>
    <t>barrel</t>
  </si>
  <si>
    <t>MC.314686.0720</t>
  </si>
  <si>
    <t>Number</t>
  </si>
  <si>
    <t>MC.314686.0652</t>
  </si>
  <si>
    <t>MC.314686.0918</t>
  </si>
  <si>
    <t>pineapple</t>
  </si>
  <si>
    <t>1981.0653.01</t>
  </si>
  <si>
    <t>MC.314686.0269</t>
  </si>
  <si>
    <t>MC.314686.0311</t>
  </si>
  <si>
    <t>1985.0653.01</t>
  </si>
  <si>
    <t>2016.5004.1216</t>
  </si>
  <si>
    <t>tube, cathode</t>
  </si>
  <si>
    <t>Transparency</t>
  </si>
  <si>
    <t>MC.314686.0751</t>
  </si>
  <si>
    <t>House numbering</t>
  </si>
  <si>
    <t>1984.0914.01</t>
  </si>
  <si>
    <t>1991.0324.04</t>
  </si>
  <si>
    <t>1988.0179.02</t>
  </si>
  <si>
    <t>telegraph tape reel</t>
  </si>
  <si>
    <t>MC.314686.0327</t>
  </si>
  <si>
    <t>buckle, four prongs</t>
  </si>
  <si>
    <t>Oval</t>
  </si>
  <si>
    <t>MC.314686.0161</t>
  </si>
  <si>
    <t>MC.314686.0722</t>
  </si>
  <si>
    <t>2011.0088.04</t>
  </si>
  <si>
    <t>costume</t>
  </si>
  <si>
    <t>piggy_bank</t>
  </si>
  <si>
    <t>crash_helmet</t>
  </si>
  <si>
    <t>MC.314686.0801</t>
  </si>
  <si>
    <t>Chain</t>
  </si>
  <si>
    <t>MC.314686.0095</t>
  </si>
  <si>
    <t>MC.314686.0552</t>
  </si>
  <si>
    <t>MC.314686.0700</t>
  </si>
  <si>
    <t>AF.67880M</t>
  </si>
  <si>
    <t>ZZ.RSN83554R15</t>
  </si>
  <si>
    <t>reel of electric cable, boxed</t>
  </si>
  <si>
    <t>AF.67853m</t>
  </si>
  <si>
    <t>scroll sketch</t>
  </si>
  <si>
    <t>AF.303690D</t>
  </si>
  <si>
    <t>gauze, sublimate corrosive</t>
  </si>
  <si>
    <t>1987.0014.23</t>
  </si>
  <si>
    <t>AF.14438</t>
  </si>
  <si>
    <t>Sabre</t>
  </si>
  <si>
    <t>AF.202729</t>
  </si>
  <si>
    <t>rifle, percussion</t>
  </si>
  <si>
    <t>AF.25229Q</t>
  </si>
  <si>
    <t>1986.0024.15</t>
  </si>
  <si>
    <t>AF.58757-N</t>
  </si>
  <si>
    <t>flight time clock</t>
  </si>
  <si>
    <t>AF.12834</t>
  </si>
  <si>
    <t>1982.0785.12</t>
  </si>
  <si>
    <t>AF.60670M</t>
  </si>
  <si>
    <t>insignia</t>
  </si>
  <si>
    <t>AF.25267E</t>
  </si>
  <si>
    <t>AF.215418</t>
  </si>
  <si>
    <t>rifle, flintlock</t>
  </si>
  <si>
    <t>AF.16043 [dup1]</t>
  </si>
  <si>
    <t>AF.256991</t>
  </si>
  <si>
    <t>musket, percussion</t>
  </si>
  <si>
    <t>2013.3101.10</t>
  </si>
  <si>
    <t>AF.245168.106A</t>
  </si>
  <si>
    <t>2002.0238.04</t>
  </si>
  <si>
    <t>1987.0014.05</t>
  </si>
  <si>
    <t>AF.22828 [dup2]</t>
  </si>
  <si>
    <t>sack coat</t>
  </si>
  <si>
    <t>lab_coat</t>
  </si>
  <si>
    <t>AF.34754</t>
  </si>
  <si>
    <t>AF.25232Y</t>
  </si>
  <si>
    <t>Celestial event</t>
  </si>
  <si>
    <t>AF.32688</t>
  </si>
  <si>
    <t>ZZ.RSN83626V37</t>
  </si>
  <si>
    <t>box, epaulet</t>
  </si>
  <si>
    <t>AF.60667M</t>
  </si>
  <si>
    <t>belt plate</t>
  </si>
  <si>
    <t>Dutch_oven</t>
  </si>
  <si>
    <t>2017.5015.0662</t>
  </si>
  <si>
    <t>AF.74266M</t>
  </si>
  <si>
    <t>2013.3101.22</t>
  </si>
  <si>
    <t>Nature</t>
  </si>
  <si>
    <t>1987.0014.10</t>
  </si>
  <si>
    <t>2012.0255.01</t>
  </si>
  <si>
    <t>boots, pair of</t>
  </si>
  <si>
    <t>AF.61151M</t>
  </si>
  <si>
    <t>helmet</t>
  </si>
  <si>
    <t>Personal protective equipment</t>
  </si>
  <si>
    <t>isopod</t>
  </si>
  <si>
    <t>2015.0117.04</t>
  </si>
  <si>
    <t>1987.0014.14</t>
  </si>
  <si>
    <t>ZZ.RSN83627V19</t>
  </si>
  <si>
    <t>box, uniform accessories</t>
  </si>
  <si>
    <t>AF.58705M</t>
  </si>
  <si>
    <t>AF.4409B</t>
  </si>
  <si>
    <t>jacket, shell</t>
  </si>
  <si>
    <t>AF.41929</t>
  </si>
  <si>
    <t>AF.11781</t>
  </si>
  <si>
    <t>AF.272955</t>
  </si>
  <si>
    <t>AF.32870</t>
  </si>
  <si>
    <t>horse</t>
  </si>
  <si>
    <t>Horse tack</t>
  </si>
  <si>
    <t>Horse</t>
  </si>
  <si>
    <t>Horse harness</t>
  </si>
  <si>
    <t>Arabian_camel</t>
  </si>
  <si>
    <t>AF.15934</t>
  </si>
  <si>
    <t>1985.0783.17</t>
  </si>
  <si>
    <t>pistol-cutlass, percussion</t>
  </si>
  <si>
    <t>AF.30714</t>
  </si>
  <si>
    <t>pigeon</t>
  </si>
  <si>
    <t>Beak</t>
  </si>
  <si>
    <t>Bird of prey</t>
  </si>
  <si>
    <t>kite</t>
  </si>
  <si>
    <t>vulture</t>
  </si>
  <si>
    <t>African_grey</t>
  </si>
  <si>
    <t>1987.0014.07</t>
  </si>
  <si>
    <t>2011.0086.13</t>
  </si>
  <si>
    <t>bag</t>
  </si>
  <si>
    <t>vestment</t>
  </si>
  <si>
    <t>AF.257062</t>
  </si>
  <si>
    <t>2002.0297.01</t>
  </si>
  <si>
    <t>name tag</t>
  </si>
  <si>
    <t>2011.0263.01</t>
  </si>
  <si>
    <t>AF.25276D</t>
  </si>
  <si>
    <t>1987.0014.20</t>
  </si>
  <si>
    <t>AF.75886M</t>
  </si>
  <si>
    <t>revolver, percussion</t>
  </si>
  <si>
    <t>2012.0214.13</t>
  </si>
  <si>
    <t>2013.3101.52</t>
  </si>
  <si>
    <t>shoji</t>
  </si>
  <si>
    <t>2013.3101.46</t>
  </si>
  <si>
    <t>ZZ.RSN83540V19</t>
  </si>
  <si>
    <t>booster, model</t>
  </si>
  <si>
    <t>1987.0014.33</t>
  </si>
  <si>
    <t>pistol, percussion</t>
  </si>
  <si>
    <t>2011.0267.07</t>
  </si>
  <si>
    <t>hydration pack</t>
  </si>
  <si>
    <t>Military camouflage</t>
  </si>
  <si>
    <t>2013.3101.40</t>
  </si>
  <si>
    <t>AF.42577</t>
  </si>
  <si>
    <t>cardigan</t>
  </si>
  <si>
    <t>1986.0024.09</t>
  </si>
  <si>
    <t>1989.0748.06</t>
  </si>
  <si>
    <t>AF.6127</t>
  </si>
  <si>
    <t>AF.17518</t>
  </si>
  <si>
    <t>AF.202728</t>
  </si>
  <si>
    <t>shotgun, percussion</t>
  </si>
  <si>
    <t>walking_stick</t>
  </si>
  <si>
    <t>AF.NM404</t>
  </si>
  <si>
    <t>rifle musket, percussion</t>
  </si>
  <si>
    <t>AF.58709N</t>
  </si>
  <si>
    <t>dish, vegetable</t>
  </si>
  <si>
    <t>1979.0916.04</t>
  </si>
  <si>
    <t>Cookware and bakeware</t>
  </si>
  <si>
    <t>AF.93729</t>
  </si>
  <si>
    <t>AF.32012</t>
  </si>
  <si>
    <t>1978.0641.156</t>
  </si>
  <si>
    <t>bureau</t>
  </si>
  <si>
    <t>2002.0218.12</t>
  </si>
  <si>
    <t>1978.0670.683</t>
  </si>
  <si>
    <t>Tuba</t>
  </si>
  <si>
    <t>1986.3187.01</t>
  </si>
  <si>
    <t>Piano</t>
  </si>
  <si>
    <t>Fortepiano</t>
  </si>
  <si>
    <t>organ</t>
  </si>
  <si>
    <t>1988.3160.39</t>
  </si>
  <si>
    <t>Collie</t>
  </si>
  <si>
    <t>Pony</t>
  </si>
  <si>
    <t>1996.0320.05192</t>
  </si>
  <si>
    <t>1978.0670.195</t>
  </si>
  <si>
    <t>1996.0320.05212</t>
  </si>
  <si>
    <t>Cowboy</t>
  </si>
  <si>
    <t>Rodeo</t>
  </si>
  <si>
    <t>GA.03210.09</t>
  </si>
  <si>
    <t>Marking knife</t>
  </si>
  <si>
    <t>1993.0486.0931</t>
  </si>
  <si>
    <t>matrices, set of</t>
  </si>
  <si>
    <t>Shelf</t>
  </si>
  <si>
    <t>library</t>
  </si>
  <si>
    <t>bookcase</t>
  </si>
  <si>
    <t>rotisserie</t>
  </si>
  <si>
    <t>1980.0315.01</t>
  </si>
  <si>
    <t>cradle</t>
  </si>
  <si>
    <t>2006.0067.08</t>
  </si>
  <si>
    <t>patch</t>
  </si>
  <si>
    <t>1993.0486.0035</t>
  </si>
  <si>
    <t>1979.0481.03</t>
  </si>
  <si>
    <t>costume, 4-piece</t>
  </si>
  <si>
    <t>1978.0670.449</t>
  </si>
  <si>
    <t>MI.303544</t>
  </si>
  <si>
    <t>1992.0634.052</t>
  </si>
  <si>
    <t>puzzle</t>
  </si>
  <si>
    <t>1999.0261.35</t>
  </si>
  <si>
    <t>post script font</t>
  </si>
  <si>
    <t>MI.383371</t>
  </si>
  <si>
    <t>Bass oboe</t>
  </si>
  <si>
    <t>1993.0486.0107</t>
  </si>
  <si>
    <t>1986.0711.0283.07</t>
  </si>
  <si>
    <t>2007.0162.013</t>
  </si>
  <si>
    <t>leaflet</t>
  </si>
  <si>
    <t>1982.0434.01</t>
  </si>
  <si>
    <t>MI.251397</t>
  </si>
  <si>
    <t>1978.0670.120</t>
  </si>
  <si>
    <t>1993.0486.0458</t>
  </si>
  <si>
    <t>2006.0060.04</t>
  </si>
  <si>
    <t>mixer</t>
  </si>
  <si>
    <t>1978.0670.522</t>
  </si>
  <si>
    <t>2013.0314.01</t>
  </si>
  <si>
    <t>1996.0320.05048</t>
  </si>
  <si>
    <t>2008.0175.25</t>
  </si>
  <si>
    <t>Fish</t>
  </si>
  <si>
    <t>Reptile</t>
  </si>
  <si>
    <t>Alligator</t>
  </si>
  <si>
    <t>alligator_lizard</t>
  </si>
  <si>
    <t>whiptail</t>
  </si>
  <si>
    <t>1993.0486.0004</t>
  </si>
  <si>
    <t>1992.0634.022</t>
  </si>
  <si>
    <t>MI.315700</t>
  </si>
  <si>
    <t>potter's_wheel</t>
  </si>
  <si>
    <t>1978.0670.261</t>
  </si>
  <si>
    <t>MI.039587</t>
  </si>
  <si>
    <t>1983.0551.02</t>
  </si>
  <si>
    <t>scarf</t>
  </si>
  <si>
    <t>1978.0670.667</t>
  </si>
  <si>
    <t>2013.0101.13</t>
  </si>
  <si>
    <t>GA.16093</t>
  </si>
  <si>
    <t>print; photogravure</t>
  </si>
  <si>
    <t>1978.0670.097</t>
  </si>
  <si>
    <t>1978.0670.246</t>
  </si>
  <si>
    <t>wok</t>
  </si>
  <si>
    <t>MI.74.27</t>
  </si>
  <si>
    <t>Plywood</t>
  </si>
  <si>
    <t>2001.3087.14.02</t>
  </si>
  <si>
    <t>bottle</t>
  </si>
  <si>
    <t>Tin</t>
  </si>
  <si>
    <t>2007.0158.18</t>
  </si>
  <si>
    <t>Amber</t>
  </si>
  <si>
    <t>ladybug</t>
  </si>
  <si>
    <t>orange</t>
  </si>
  <si>
    <t>1978.0670.459</t>
  </si>
  <si>
    <t>Mellophone</t>
  </si>
  <si>
    <t>MI.381444</t>
  </si>
  <si>
    <t>Keyboard</t>
  </si>
  <si>
    <t>2007.0021.01</t>
  </si>
  <si>
    <t>gloves, boxing</t>
  </si>
  <si>
    <t>Organ</t>
  </si>
  <si>
    <t>Flesh</t>
  </si>
  <si>
    <t>2001.3101.08.01</t>
  </si>
  <si>
    <t>ET.234377.002CC</t>
  </si>
  <si>
    <t>Standing</t>
  </si>
  <si>
    <t>1988.3160.54</t>
  </si>
  <si>
    <t>1985.0017.14</t>
  </si>
  <si>
    <t>1986.0711.0334.30</t>
  </si>
  <si>
    <t>Waterway</t>
  </si>
  <si>
    <t>1987.0263.02</t>
  </si>
  <si>
    <t>1996.0320.14879</t>
  </si>
  <si>
    <t>1988.3160.55</t>
  </si>
  <si>
    <t>2013.0322.02</t>
  </si>
  <si>
    <t>bra, sports</t>
  </si>
  <si>
    <t>Brassiere</t>
  </si>
  <si>
    <t>MI.78.01</t>
  </si>
  <si>
    <t>2013.0255.01</t>
  </si>
  <si>
    <t>MI.096610</t>
  </si>
  <si>
    <t>2017.0331.20</t>
  </si>
  <si>
    <t>clipboard, special olympics</t>
  </si>
  <si>
    <t>2003.0264.01</t>
  </si>
  <si>
    <t>1978.0670.798</t>
  </si>
  <si>
    <t>2014.0181.10</t>
  </si>
  <si>
    <t>MI.315749</t>
  </si>
  <si>
    <t>Spinet</t>
  </si>
  <si>
    <t>2012.0071.33</t>
  </si>
  <si>
    <t>die cut figure</t>
  </si>
  <si>
    <t>Bull</t>
  </si>
  <si>
    <t>Horn</t>
  </si>
  <si>
    <t>Bronze sculpture</t>
  </si>
  <si>
    <t>1993.0486.0496</t>
  </si>
  <si>
    <t>2017.0306.0157</t>
  </si>
  <si>
    <t>camera; lens</t>
  </si>
  <si>
    <t>1997.0364.01</t>
  </si>
  <si>
    <t>jersey, basketball</t>
  </si>
  <si>
    <t>Sportswear</t>
  </si>
  <si>
    <t>Jersey</t>
  </si>
  <si>
    <t>maillot</t>
  </si>
  <si>
    <t>1985.0714.01</t>
  </si>
  <si>
    <t>1988.0698.1074</t>
  </si>
  <si>
    <t>1988.0698.1111</t>
  </si>
  <si>
    <t>1978.0670.729</t>
  </si>
  <si>
    <t>1993.0486.0125</t>
  </si>
  <si>
    <t>2003.0250.092</t>
  </si>
  <si>
    <t>Event</t>
  </si>
  <si>
    <t>academic_gown</t>
  </si>
  <si>
    <t>MI.315695</t>
  </si>
  <si>
    <t>Electronic instrument</t>
  </si>
  <si>
    <t>2001.0013.01</t>
  </si>
  <si>
    <t>vibraphone</t>
  </si>
  <si>
    <t>Xylophone</t>
  </si>
  <si>
    <t>Vibraphone</t>
  </si>
  <si>
    <t>freight_car</t>
  </si>
  <si>
    <t>accordion</t>
  </si>
  <si>
    <t>MI.68.02</t>
  </si>
  <si>
    <t>1978.0670.111</t>
  </si>
  <si>
    <t>MI.315666a</t>
  </si>
  <si>
    <t>MI.60.1379</t>
  </si>
  <si>
    <t>guitar</t>
  </si>
  <si>
    <t>stupa</t>
  </si>
  <si>
    <t>1985.0247.04</t>
  </si>
  <si>
    <t>cel, animation</t>
  </si>
  <si>
    <t>MI.79.04</t>
  </si>
  <si>
    <t>1987.0213.078</t>
  </si>
  <si>
    <t>card, bubble gum</t>
  </si>
  <si>
    <t>Comics</t>
  </si>
  <si>
    <t>2013.3079.04</t>
  </si>
  <si>
    <t>1978.0670.378</t>
  </si>
  <si>
    <t>MI.095264</t>
  </si>
  <si>
    <t>Guitar</t>
  </si>
  <si>
    <t>MI.326904</t>
  </si>
  <si>
    <t>Harpsichord</t>
  </si>
  <si>
    <t>1978.0670.516</t>
  </si>
  <si>
    <t>1993.0486.0876</t>
  </si>
  <si>
    <t>solar_dish</t>
  </si>
  <si>
    <t>1978.0670.002</t>
  </si>
  <si>
    <t>1992.0517.01</t>
  </si>
  <si>
    <t>fiddle</t>
  </si>
  <si>
    <t>Suit</t>
  </si>
  <si>
    <t>hammerhead</t>
  </si>
  <si>
    <t>1996.0320.05204</t>
  </si>
  <si>
    <t>1978.0670.795</t>
  </si>
  <si>
    <t>GA.21170</t>
  </si>
  <si>
    <t>PG.4114A</t>
  </si>
  <si>
    <t>Portrait</t>
  </si>
  <si>
    <t>Darkness</t>
  </si>
  <si>
    <t>CL.310547.136</t>
  </si>
  <si>
    <t>mosque</t>
  </si>
  <si>
    <t>MI.299838</t>
  </si>
  <si>
    <t>MI.055678</t>
  </si>
  <si>
    <t>CL.310547.135</t>
  </si>
  <si>
    <t>1996.0320.05200</t>
  </si>
  <si>
    <t>2006.0067.06</t>
  </si>
  <si>
    <t>bathing_cap</t>
  </si>
  <si>
    <t>MI.095255</t>
  </si>
  <si>
    <t>lute ?</t>
  </si>
  <si>
    <t>1993.0486.1058</t>
  </si>
  <si>
    <t>1988.3160.51</t>
  </si>
  <si>
    <t>1996.0153.08696</t>
  </si>
  <si>
    <t>car_wheel</t>
  </si>
  <si>
    <t>reflex_camera</t>
  </si>
  <si>
    <t>1978.0670.044</t>
  </si>
  <si>
    <t>1981.0530.08</t>
  </si>
  <si>
    <t>MI.303542</t>
  </si>
  <si>
    <t>GA.10729.16</t>
  </si>
  <si>
    <t>1993.0435.01</t>
  </si>
  <si>
    <t>MI.76.28</t>
  </si>
  <si>
    <t>1988.0434.09</t>
  </si>
  <si>
    <t>2013.0037.33</t>
  </si>
  <si>
    <t>Tobacco products</t>
  </si>
  <si>
    <t>2001.3100.18</t>
  </si>
  <si>
    <t>1978.0670.512</t>
  </si>
  <si>
    <t>1996.0320.05197</t>
  </si>
  <si>
    <t>1996.0320.05132</t>
  </si>
  <si>
    <t>Book</t>
  </si>
  <si>
    <t>MI.055679</t>
  </si>
  <si>
    <t>DL.383717H</t>
  </si>
  <si>
    <t>1978.0119.22</t>
  </si>
  <si>
    <t>1992.0605.018</t>
  </si>
  <si>
    <t>DL.298065.0179</t>
  </si>
  <si>
    <t>ruffed_grouse</t>
  </si>
  <si>
    <t>partridge</t>
  </si>
  <si>
    <t>quail</t>
  </si>
  <si>
    <t>hen</t>
  </si>
  <si>
    <t>DL.006866.17</t>
  </si>
  <si>
    <t>1986.3175.1A</t>
  </si>
  <si>
    <t>rack, utensil</t>
  </si>
  <si>
    <t>DL.61.0826</t>
  </si>
  <si>
    <t>Tobacco pipe</t>
  </si>
  <si>
    <t>black_widow</t>
  </si>
  <si>
    <t>DL.60.2587</t>
  </si>
  <si>
    <t>1982.0090.09K</t>
  </si>
  <si>
    <t>CE.63.133</t>
  </si>
  <si>
    <t>DL.61.0939</t>
  </si>
  <si>
    <t>holder, cigar</t>
  </si>
  <si>
    <t>Smoking</t>
  </si>
  <si>
    <t>Mallet</t>
  </si>
  <si>
    <t>1996.0201.07</t>
  </si>
  <si>
    <t>2013.0121.34</t>
  </si>
  <si>
    <t>1987.0794.01</t>
  </si>
  <si>
    <t>carpet beater</t>
  </si>
  <si>
    <t>1988.0608.17</t>
  </si>
  <si>
    <t>balance_beam</t>
  </si>
  <si>
    <t>DL.64.0514A</t>
  </si>
  <si>
    <t>DL.60.3211</t>
  </si>
  <si>
    <t>Sitting</t>
  </si>
  <si>
    <t>CE.392447</t>
  </si>
  <si>
    <t>1983.0048.05</t>
  </si>
  <si>
    <t>1986.0531.021</t>
  </si>
  <si>
    <t>DL.61.0784</t>
  </si>
  <si>
    <t>swab</t>
  </si>
  <si>
    <t>DL.66.0585I</t>
  </si>
  <si>
    <t>DL.64.0067</t>
  </si>
  <si>
    <t>Glasses</t>
  </si>
  <si>
    <t>pencil_box</t>
  </si>
  <si>
    <t>DL.66.0586F</t>
  </si>
  <si>
    <t>1982.0154.16D</t>
  </si>
  <si>
    <t>1978.0119.24</t>
  </si>
  <si>
    <t>1986.0531.150</t>
  </si>
  <si>
    <t>DL.60.1146A</t>
  </si>
  <si>
    <t>DL.61.0394J</t>
  </si>
  <si>
    <t>DL.60.3673</t>
  </si>
  <si>
    <t>engraving</t>
  </si>
  <si>
    <t>Landmark</t>
  </si>
  <si>
    <t>DL.68.0603</t>
  </si>
  <si>
    <t>DL.60.3710</t>
  </si>
  <si>
    <t>History</t>
  </si>
  <si>
    <t>monastery</t>
  </si>
  <si>
    <t>CE.62.912Da</t>
  </si>
  <si>
    <t>2001.0253.0737</t>
  </si>
  <si>
    <t>placard</t>
  </si>
  <si>
    <t>punching_bag</t>
  </si>
  <si>
    <t>TE.T15345</t>
  </si>
  <si>
    <t>lace, capback</t>
  </si>
  <si>
    <t>Beanie</t>
  </si>
  <si>
    <t>dough</t>
  </si>
  <si>
    <t>obelisk</t>
  </si>
  <si>
    <t>DL.60.1090B</t>
  </si>
  <si>
    <t>CE.319884.16</t>
  </si>
  <si>
    <t>1982.0090.09N</t>
  </si>
  <si>
    <t>DL.257491.0097</t>
  </si>
  <si>
    <t>oven, reflector</t>
  </si>
  <si>
    <t>DL.61.0814</t>
  </si>
  <si>
    <t>DL.006861.04</t>
  </si>
  <si>
    <t>1989.0698.04</t>
  </si>
  <si>
    <t>Kitchen knife</t>
  </si>
  <si>
    <t>1978.2424.01</t>
  </si>
  <si>
    <t>DL.66.0560E</t>
  </si>
  <si>
    <t>2001.0253.0709</t>
  </si>
  <si>
    <t>1986.0531.042</t>
  </si>
  <si>
    <t>DL.66.0585H</t>
  </si>
  <si>
    <t>DL.006859</t>
  </si>
  <si>
    <t>silhouette</t>
  </si>
  <si>
    <t>CE.234179</t>
  </si>
  <si>
    <t>Barware</t>
  </si>
  <si>
    <t>DL.60.3512</t>
  </si>
  <si>
    <t>1986.0531.067</t>
  </si>
  <si>
    <t>knife, dessert</t>
  </si>
  <si>
    <t>2013.0193.06</t>
  </si>
  <si>
    <t>CE.60.651</t>
  </si>
  <si>
    <t>Tan</t>
  </si>
  <si>
    <t>DL.251770</t>
  </si>
  <si>
    <t>CE.62.900</t>
  </si>
  <si>
    <t>1987.0896.10ab</t>
  </si>
  <si>
    <t>DL.61.0955</t>
  </si>
  <si>
    <t>cutter, cigar</t>
  </si>
  <si>
    <t>DL.61.0704</t>
  </si>
  <si>
    <t>Smoking accessory</t>
  </si>
  <si>
    <t>vacuum</t>
  </si>
  <si>
    <t>DL.61.0858</t>
  </si>
  <si>
    <t>bowl, pipe, tobacco</t>
  </si>
  <si>
    <t>Blimp</t>
  </si>
  <si>
    <t>Aircraft</t>
  </si>
  <si>
    <t>DL.383592</t>
  </si>
  <si>
    <t>DL.61.0761</t>
  </si>
  <si>
    <t>1982.0090.09O</t>
  </si>
  <si>
    <t>DL.006636.02</t>
  </si>
  <si>
    <t>stamp, butter</t>
  </si>
  <si>
    <t>DL.383473</t>
  </si>
  <si>
    <t>saucepan</t>
  </si>
  <si>
    <t>Saucepan</t>
  </si>
  <si>
    <t>CE.75.185</t>
  </si>
  <si>
    <t>tankard</t>
  </si>
  <si>
    <t>1986.0531.052</t>
  </si>
  <si>
    <t>1986.0531.157</t>
  </si>
  <si>
    <t>knife; cutlery, set, part of</t>
  </si>
  <si>
    <t>File</t>
  </si>
  <si>
    <t>1977.0918.23</t>
  </si>
  <si>
    <t>Ottoman</t>
  </si>
  <si>
    <t>DL.60.2590</t>
  </si>
  <si>
    <t>1977.0334.02</t>
  </si>
  <si>
    <t>DL.307672.0008</t>
  </si>
  <si>
    <t>CE.56.5.1.G.ab</t>
  </si>
  <si>
    <t>CE.72.13ab</t>
  </si>
  <si>
    <t>platter; pedestal</t>
  </si>
  <si>
    <t>Cake stand</t>
  </si>
  <si>
    <t>2013.0121.20</t>
  </si>
  <si>
    <t>lace; war lace</t>
  </si>
  <si>
    <t>1986.0531.102</t>
  </si>
  <si>
    <t>CE.70.597</t>
  </si>
  <si>
    <t>stand, pickle</t>
  </si>
  <si>
    <t>radio_telescope</t>
  </si>
  <si>
    <t>DL.383572</t>
  </si>
  <si>
    <t>DL.383717J</t>
  </si>
  <si>
    <t>DL.006841</t>
  </si>
  <si>
    <t>ladle, melting</t>
  </si>
  <si>
    <t>Ladle</t>
  </si>
  <si>
    <t>TE.T14639</t>
  </si>
  <si>
    <t>lace, border, war lace</t>
  </si>
  <si>
    <t>DL.006843.03</t>
  </si>
  <si>
    <t>DL.298065.0319</t>
  </si>
  <si>
    <t>Thread</t>
  </si>
  <si>
    <t>fly</t>
  </si>
  <si>
    <t>DL.61.0885</t>
  </si>
  <si>
    <t>Orangutan</t>
  </si>
  <si>
    <t>Irish_setter</t>
  </si>
  <si>
    <t>Sussex_spaniel</t>
  </si>
  <si>
    <t>CE.95569</t>
  </si>
  <si>
    <t>CE.62.1009</t>
  </si>
  <si>
    <t>plate, soup</t>
  </si>
  <si>
    <t>1986.0635.05</t>
  </si>
  <si>
    <t>DL.383526A</t>
  </si>
  <si>
    <t>spur, riding</t>
  </si>
  <si>
    <t>DL.322793.38</t>
  </si>
  <si>
    <t>CE.393288abcd</t>
  </si>
  <si>
    <t>set, ink</t>
  </si>
  <si>
    <t>running_shoe</t>
  </si>
  <si>
    <t>English_springer</t>
  </si>
  <si>
    <t>trifle</t>
  </si>
  <si>
    <t>DL.245425.0273</t>
  </si>
  <si>
    <t>pail; bucket</t>
  </si>
  <si>
    <t>DL.382301</t>
  </si>
  <si>
    <t>Skeleton</t>
  </si>
  <si>
    <t>Fossil</t>
  </si>
  <si>
    <t>DL.60.1101</t>
  </si>
  <si>
    <t>CE.205235R</t>
  </si>
  <si>
    <t>cameo</t>
  </si>
  <si>
    <t>1986.0531.246</t>
  </si>
  <si>
    <t>fork, dinner</t>
  </si>
  <si>
    <t>DL.60.2918</t>
  </si>
  <si>
    <t>wardrobe</t>
  </si>
  <si>
    <t>DL.385833B</t>
  </si>
  <si>
    <t>CE.73.196Eab</t>
  </si>
  <si>
    <t>DL.388228</t>
  </si>
  <si>
    <t>roaster</t>
  </si>
  <si>
    <t>DL.61.0600</t>
  </si>
  <si>
    <t>Ranged weapon</t>
  </si>
  <si>
    <t>warplane</t>
  </si>
  <si>
    <t>1986.0531.158</t>
  </si>
  <si>
    <t>fork; cutlery, set, part of</t>
  </si>
  <si>
    <t>CE.62.916Sc</t>
  </si>
  <si>
    <t>DL.64.0098</t>
  </si>
  <si>
    <t>1982.0154.18E</t>
  </si>
  <si>
    <t>1982.0090.09F</t>
  </si>
  <si>
    <t>DL.288352.0004</t>
  </si>
  <si>
    <t>panel, veneer</t>
  </si>
  <si>
    <t>Door mat</t>
  </si>
  <si>
    <t>1978.0939.244</t>
  </si>
  <si>
    <t>DL.383481</t>
  </si>
  <si>
    <t>bell</t>
  </si>
  <si>
    <t>Bell</t>
  </si>
  <si>
    <t>Ghanta</t>
  </si>
  <si>
    <t>ZZ.RSN83514U00</t>
  </si>
  <si>
    <t>bowl, pipe, tobacco, batch of</t>
  </si>
  <si>
    <t>DL.383514</t>
  </si>
  <si>
    <t>Crock</t>
  </si>
  <si>
    <t>DL.60.2375</t>
  </si>
  <si>
    <t>1980.0083.04ab</t>
  </si>
  <si>
    <t>bank</t>
  </si>
  <si>
    <t>1983.0565.66</t>
  </si>
  <si>
    <t>DL.66.0576A</t>
  </si>
  <si>
    <t>1996.0344.01</t>
  </si>
  <si>
    <t>DL.61.0586</t>
  </si>
  <si>
    <t>chain_saw</t>
  </si>
  <si>
    <t>DL.251349.0227</t>
  </si>
  <si>
    <t>pail</t>
  </si>
  <si>
    <t>DL.314637.2486</t>
  </si>
  <si>
    <t>tinsel; ornament, christmas tree</t>
  </si>
  <si>
    <t>Fur</t>
  </si>
  <si>
    <t>DL.298065.0452</t>
  </si>
  <si>
    <t>Jewelry making</t>
  </si>
  <si>
    <t>DL.298065.0292</t>
  </si>
  <si>
    <t>DL.58.0035</t>
  </si>
  <si>
    <t>DL.388615</t>
  </si>
  <si>
    <t>DL.298065.0251</t>
  </si>
  <si>
    <t>Bait</t>
  </si>
  <si>
    <t>Fishing lure</t>
  </si>
  <si>
    <t>Fishing bait</t>
  </si>
  <si>
    <t>DL.60.3451</t>
  </si>
  <si>
    <t>DL.006868.040</t>
  </si>
  <si>
    <t>TE.E363155</t>
  </si>
  <si>
    <t>DL.298065.0285</t>
  </si>
  <si>
    <t>DL.257491.0053</t>
  </si>
  <si>
    <t>tin, gunpowder</t>
  </si>
  <si>
    <t>2001.0253.0742</t>
  </si>
  <si>
    <t>DL.60.2402</t>
  </si>
  <si>
    <t>TE.T8897</t>
  </si>
  <si>
    <t>oxygen_mask</t>
  </si>
  <si>
    <t>1984.0719.03</t>
  </si>
  <si>
    <t>solvent bottle</t>
  </si>
  <si>
    <t>Water</t>
  </si>
  <si>
    <t>nipple</t>
  </si>
  <si>
    <t>2003.0014.0565</t>
  </si>
  <si>
    <t>volleyball</t>
  </si>
  <si>
    <t>1978.0235.288</t>
  </si>
  <si>
    <t>oral hygiene product; pain reliever</t>
  </si>
  <si>
    <t>2012.0197.01</t>
  </si>
  <si>
    <t>stomach pump; clyster; enema</t>
  </si>
  <si>
    <t>1982.0200.01</t>
  </si>
  <si>
    <t>respirator; iron lung, patent model</t>
  </si>
  <si>
    <t>2013.0069.01</t>
  </si>
  <si>
    <t>biological; pharmaceutical</t>
  </si>
  <si>
    <t>1985.0439.01</t>
  </si>
  <si>
    <t>cardiology; artificial heart valve</t>
  </si>
  <si>
    <t>Ear</t>
  </si>
  <si>
    <t>PH.329728</t>
  </si>
  <si>
    <t>compass (surveyor's plain)</t>
  </si>
  <si>
    <t>Gauge</t>
  </si>
  <si>
    <t>Compass</t>
  </si>
  <si>
    <t>MG.293320.1359</t>
  </si>
  <si>
    <t>MG.293320.0803</t>
  </si>
  <si>
    <t>biological, veterinary; vaccine, hog cholera</t>
  </si>
  <si>
    <t>MG.293320.1241</t>
  </si>
  <si>
    <t>PH.322304</t>
  </si>
  <si>
    <t>micrometer</t>
  </si>
  <si>
    <t>1980.0698.063</t>
  </si>
  <si>
    <t>wing</t>
  </si>
  <si>
    <t>2006.0098.0744</t>
  </si>
  <si>
    <t>CH.334331.140</t>
  </si>
  <si>
    <t>mechanical pencil</t>
  </si>
  <si>
    <t>Writing instrument accessory</t>
  </si>
  <si>
    <t>1987.0786.01</t>
  </si>
  <si>
    <t>Analgesic</t>
  </si>
  <si>
    <t>Health care</t>
  </si>
  <si>
    <t>Pharmaceutical drug</t>
  </si>
  <si>
    <t>1986.0198.023</t>
  </si>
  <si>
    <t>personal hygiene product; suntan lotion</t>
  </si>
  <si>
    <t>Plastic bottle</t>
  </si>
  <si>
    <t>PH.314553</t>
  </si>
  <si>
    <t>1980.0698.105</t>
  </si>
  <si>
    <t>1987.0757.33</t>
  </si>
  <si>
    <t>test tube rack</t>
  </si>
  <si>
    <t>Storage basket</t>
  </si>
  <si>
    <t>2006.0098.0569</t>
  </si>
  <si>
    <t>calendar</t>
  </si>
  <si>
    <t>1991.0664.0106</t>
  </si>
  <si>
    <t>MG.M-10766 [dup44]</t>
  </si>
  <si>
    <t>1979.0798.107</t>
  </si>
  <si>
    <t>1985.0481.126</t>
  </si>
  <si>
    <t>otc preparation; cream, skin</t>
  </si>
  <si>
    <t>MG.293320.0969</t>
  </si>
  <si>
    <t>hair care product; shampoo</t>
  </si>
  <si>
    <t>2006.0098.1605</t>
  </si>
  <si>
    <t>match box cover</t>
  </si>
  <si>
    <t>Match</t>
  </si>
  <si>
    <t>1994.3092.06</t>
  </si>
  <si>
    <t>teeshirt</t>
  </si>
  <si>
    <t>2006.0098.1050</t>
  </si>
  <si>
    <t>1980.0698.110</t>
  </si>
  <si>
    <t>MG.293320.1363</t>
  </si>
  <si>
    <t>Ink</t>
  </si>
  <si>
    <t>1986.0091.01</t>
  </si>
  <si>
    <t>MG.293320.0713</t>
  </si>
  <si>
    <t>cab</t>
  </si>
  <si>
    <t>1982.0140.04</t>
  </si>
  <si>
    <t>sample of nylon polymer</t>
  </si>
  <si>
    <t>2006.0098.1120</t>
  </si>
  <si>
    <t>Airplane</t>
  </si>
  <si>
    <t>Wing</t>
  </si>
  <si>
    <t>speedboat</t>
  </si>
  <si>
    <t>bobsled</t>
  </si>
  <si>
    <t>1987.0248.01</t>
  </si>
  <si>
    <t>blood cell counter</t>
  </si>
  <si>
    <t>MG.221419.07</t>
  </si>
  <si>
    <t>biological; syringe, vaccine, polio</t>
  </si>
  <si>
    <t>1996.0188.01</t>
  </si>
  <si>
    <t>amino acid analyzer</t>
  </si>
  <si>
    <t>microwave</t>
  </si>
  <si>
    <t>2007.0198.120</t>
  </si>
  <si>
    <t>MG.M-12151.17</t>
  </si>
  <si>
    <t>1984.0351.109</t>
  </si>
  <si>
    <t>1985.3109.016</t>
  </si>
  <si>
    <t>poster, smallpox eradication</t>
  </si>
  <si>
    <t>2008.0018.148</t>
  </si>
  <si>
    <t>otc preparation; personal hygiene product</t>
  </si>
  <si>
    <t>1994.0147.01</t>
  </si>
  <si>
    <t>odometer</t>
  </si>
  <si>
    <t>1979.0798.342</t>
  </si>
  <si>
    <t>hermit_crab</t>
  </si>
  <si>
    <t>1979.0798.187</t>
  </si>
  <si>
    <t>2008.0018.252</t>
  </si>
  <si>
    <t>hair care product; hair dye</t>
  </si>
  <si>
    <t>MG.M-10426.03</t>
  </si>
  <si>
    <t>CH.336756</t>
  </si>
  <si>
    <t>1985.0460.076</t>
  </si>
  <si>
    <t>1983.0538.18</t>
  </si>
  <si>
    <t>cigarette box</t>
  </si>
  <si>
    <t>MG.293320.1316</t>
  </si>
  <si>
    <t>2006.0098.0963</t>
  </si>
  <si>
    <t>stamp holder; court plaster case</t>
  </si>
  <si>
    <t>MG.M-10426.07</t>
  </si>
  <si>
    <t>MA.333588</t>
  </si>
  <si>
    <t>astrolabe</t>
  </si>
  <si>
    <t>2008.0009.02.05</t>
  </si>
  <si>
    <t>rheostat</t>
  </si>
  <si>
    <t>2006.0098.0349</t>
  </si>
  <si>
    <t>greeting card</t>
  </si>
  <si>
    <t>1981.0219.063</t>
  </si>
  <si>
    <t>Lotion</t>
  </si>
  <si>
    <t>1997.0319.20</t>
  </si>
  <si>
    <t>1978.0882.74</t>
  </si>
  <si>
    <t>biological; diagnostic, allergen extract; allergy treatment</t>
  </si>
  <si>
    <t>1993.0499.01</t>
  </si>
  <si>
    <t>poster, tuberculosis awareness</t>
  </si>
  <si>
    <t>1978.0882.18</t>
  </si>
  <si>
    <t>biological; vaccine, smallpox</t>
  </si>
  <si>
    <t>2006.0098.1713</t>
  </si>
  <si>
    <t>2006.0098.1240</t>
  </si>
  <si>
    <t>MG.293320.1336</t>
  </si>
  <si>
    <t>CH.334310.5</t>
  </si>
  <si>
    <t>cucumber</t>
  </si>
  <si>
    <t>1980.0319.01</t>
  </si>
  <si>
    <t>1979.0798.076</t>
  </si>
  <si>
    <t>2001.0131.02</t>
  </si>
  <si>
    <t>vial, antitoxin, botulism</t>
  </si>
  <si>
    <t>CH.334337.166</t>
  </si>
  <si>
    <t>PH.321742</t>
  </si>
  <si>
    <t>1979.0798.007</t>
  </si>
  <si>
    <t>2006.0098.0480</t>
  </si>
  <si>
    <t>1998.0102.07</t>
  </si>
  <si>
    <t>cosmetic; lotion, self tanning</t>
  </si>
  <si>
    <t>Fluid</t>
  </si>
  <si>
    <t>1981.0589.001</t>
  </si>
  <si>
    <t>pharmaceutical; ointment, jar</t>
  </si>
  <si>
    <t>Cookie jar</t>
  </si>
  <si>
    <t>1991.0140.01.02</t>
  </si>
  <si>
    <t>instrument case</t>
  </si>
  <si>
    <t>1979.1177.01.01.12</t>
  </si>
  <si>
    <t>CH.334309</t>
  </si>
  <si>
    <t>illustrations of uses of celluloid in automobiles</t>
  </si>
  <si>
    <t>Car</t>
  </si>
  <si>
    <t>2005.0275.02</t>
  </si>
  <si>
    <t>cardiology; valve</t>
  </si>
  <si>
    <t>MG.293320.1315</t>
  </si>
  <si>
    <t>CH.329263</t>
  </si>
  <si>
    <t>weight or playing piece</t>
  </si>
  <si>
    <t>Graphite</t>
  </si>
  <si>
    <t>1989.0711.11</t>
  </si>
  <si>
    <t>1985.0460.213</t>
  </si>
  <si>
    <t>1997.0006.02</t>
  </si>
  <si>
    <t>gps receiver</t>
  </si>
  <si>
    <t>Measuring instrument</t>
  </si>
  <si>
    <t>CH.315372.07</t>
  </si>
  <si>
    <t>funnel</t>
  </si>
  <si>
    <t>1989.0541.02</t>
  </si>
  <si>
    <t>case</t>
  </si>
  <si>
    <t>1979.0798.197</t>
  </si>
  <si>
    <t>Wooden block</t>
  </si>
  <si>
    <t>1979.0798.350</t>
  </si>
  <si>
    <t>CH.333717</t>
  </si>
  <si>
    <t>MG.M-11465.08</t>
  </si>
  <si>
    <t>CH.322050</t>
  </si>
  <si>
    <t>Miniature</t>
  </si>
  <si>
    <t>1983.0548.02a</t>
  </si>
  <si>
    <t>2006.0098.0054</t>
  </si>
  <si>
    <t>post card; carte postale</t>
  </si>
  <si>
    <t>1984.0351.122</t>
  </si>
  <si>
    <t>MG.M-11504.01</t>
  </si>
  <si>
    <t>jar, leech, apothecary</t>
  </si>
  <si>
    <t>1978.0882.63</t>
  </si>
  <si>
    <t>1978.0882.78</t>
  </si>
  <si>
    <t>biological; diagnostic, allergen extract; immunotherapy</t>
  </si>
  <si>
    <t>MG.M-10426.57</t>
  </si>
  <si>
    <t>MG.221419.05</t>
  </si>
  <si>
    <t>biological; vaccine, polio</t>
  </si>
  <si>
    <t>PH.325689</t>
  </si>
  <si>
    <t>graphometer</t>
  </si>
  <si>
    <t>1979.0798.316</t>
  </si>
  <si>
    <t>2006.0098.0571</t>
  </si>
  <si>
    <t>MG.112986.01.01</t>
  </si>
  <si>
    <t>surgical set</t>
  </si>
  <si>
    <t>Vehicle door</t>
  </si>
  <si>
    <t>1995.0069.08</t>
  </si>
  <si>
    <t>microcomputer peripheral</t>
  </si>
  <si>
    <t>PH.318271</t>
  </si>
  <si>
    <t>daniell hygrometer</t>
  </si>
  <si>
    <t>Laboratory equipment</t>
  </si>
  <si>
    <t>MG.293320.1181</t>
  </si>
  <si>
    <t>1979.0798.176</t>
  </si>
  <si>
    <t>Bottle cap</t>
  </si>
  <si>
    <t>2006.0098.1326</t>
  </si>
  <si>
    <t>1989.0711.27</t>
  </si>
  <si>
    <t>2006.0098.1672</t>
  </si>
  <si>
    <t>salad server set</t>
  </si>
  <si>
    <t>1978.0883.187</t>
  </si>
  <si>
    <t>pharmaceutical</t>
  </si>
  <si>
    <t>2006.0098.1415</t>
  </si>
  <si>
    <t>blotter</t>
  </si>
  <si>
    <t>1984.0046.030</t>
  </si>
  <si>
    <t>2016.5005.0431</t>
  </si>
  <si>
    <t>portrait</t>
  </si>
  <si>
    <t>Photographic paper</t>
  </si>
  <si>
    <t>1984.0782.146</t>
  </si>
  <si>
    <t>1993.0024.13</t>
  </si>
  <si>
    <t>personal hygiene product; soap, novelty</t>
  </si>
  <si>
    <t>PH.309850A</t>
  </si>
  <si>
    <t>Theodolite</t>
  </si>
  <si>
    <t>1979.0798.381</t>
  </si>
  <si>
    <t>1989.0711.31</t>
  </si>
  <si>
    <t>container_ship</t>
  </si>
  <si>
    <t>MG.M-07260</t>
  </si>
  <si>
    <t>CH.334569</t>
  </si>
  <si>
    <t>association badge</t>
  </si>
  <si>
    <t>1979.0798.361</t>
  </si>
  <si>
    <t>1985.0475.879</t>
  </si>
  <si>
    <t>1985.0118.01</t>
  </si>
  <si>
    <t>microcomputer</t>
  </si>
  <si>
    <t>Screen</t>
  </si>
  <si>
    <t>Personal computer</t>
  </si>
  <si>
    <t>computer_keyboard</t>
  </si>
  <si>
    <t>CH.316244</t>
  </si>
  <si>
    <t>absorption apparatus</t>
  </si>
  <si>
    <t>2006.0098.0987</t>
  </si>
  <si>
    <t>AG.A.6995</t>
  </si>
  <si>
    <t>pencil sharpener, bakelite</t>
  </si>
  <si>
    <t>1999.0319.07</t>
  </si>
  <si>
    <t>oral hygiene product; toothpaste</t>
  </si>
  <si>
    <t>1991.0664.0092</t>
  </si>
  <si>
    <t>MG.M-10426.06</t>
  </si>
  <si>
    <t>PH.247917</t>
  </si>
  <si>
    <t>compass (pocket with folding sights)</t>
  </si>
  <si>
    <t>PH.336362</t>
  </si>
  <si>
    <t>Analog watch</t>
  </si>
  <si>
    <t>Watch accessory</t>
  </si>
  <si>
    <t>1977.0368.22</t>
  </si>
  <si>
    <t>mortar designed for bakelite nose cone</t>
  </si>
  <si>
    <t>2006.0098.1608</t>
  </si>
  <si>
    <t>2006.0098.1369</t>
  </si>
  <si>
    <t>bridge scorer</t>
  </si>
  <si>
    <t>2006.0098.0689</t>
  </si>
  <si>
    <t>bookmark</t>
  </si>
  <si>
    <t>1985.0481.043</t>
  </si>
  <si>
    <t>otc preparation; lotion, skin, medicated</t>
  </si>
  <si>
    <t>2005.0142.02</t>
  </si>
  <si>
    <t>NU.NU51410</t>
  </si>
  <si>
    <t>1981.3024.03</t>
  </si>
  <si>
    <t>2014.0096.004</t>
  </si>
  <si>
    <t>1999.0024.01</t>
  </si>
  <si>
    <t>End table</t>
  </si>
  <si>
    <t>1996.0113.16</t>
  </si>
  <si>
    <t>2015.0200.033</t>
  </si>
  <si>
    <t>pin, stick</t>
  </si>
  <si>
    <t>2004.0304.01</t>
  </si>
  <si>
    <t>chad, ballot</t>
  </si>
  <si>
    <t>Magnifying glass</t>
  </si>
  <si>
    <t>Office instrument</t>
  </si>
  <si>
    <t>PL.284906.01</t>
  </si>
  <si>
    <t>certificate</t>
  </si>
  <si>
    <t>Still life</t>
  </si>
  <si>
    <t>PL.244894.34</t>
  </si>
  <si>
    <t>pin cushion</t>
  </si>
  <si>
    <t>1985.0851.05</t>
  </si>
  <si>
    <t>Thumb</t>
  </si>
  <si>
    <t>PL.227739.1884.T08</t>
  </si>
  <si>
    <t>PL.242991.059</t>
  </si>
  <si>
    <t>Batman</t>
  </si>
  <si>
    <t>Cake decorating supply</t>
  </si>
  <si>
    <t>PL.004413</t>
  </si>
  <si>
    <t>puffer</t>
  </si>
  <si>
    <t>1979.0949.01</t>
  </si>
  <si>
    <t>printing block</t>
  </si>
  <si>
    <t>1980.0482.15</t>
  </si>
  <si>
    <t>2015.0200.016</t>
  </si>
  <si>
    <t>PL.030794</t>
  </si>
  <si>
    <t>wedge</t>
  </si>
  <si>
    <t>Sharpening stone</t>
  </si>
  <si>
    <t>PL.280401.01</t>
  </si>
  <si>
    <t>feather</t>
  </si>
  <si>
    <t>macaw</t>
  </si>
  <si>
    <t>PL.308316.005</t>
  </si>
  <si>
    <t>moccasins</t>
  </si>
  <si>
    <t>PL.227739.1952.X040</t>
  </si>
  <si>
    <t>compact</t>
  </si>
  <si>
    <t>PL.227739.1888.N02</t>
  </si>
  <si>
    <t>2007.0159.01</t>
  </si>
  <si>
    <t>People</t>
  </si>
  <si>
    <t>PL.304408.03</t>
  </si>
  <si>
    <t>2004.0271.01</t>
  </si>
  <si>
    <t>cane</t>
  </si>
  <si>
    <t>PL.001650</t>
  </si>
  <si>
    <t>statue</t>
  </si>
  <si>
    <t>triumphal_arch</t>
  </si>
  <si>
    <t>1977.0737.66</t>
  </si>
  <si>
    <t>PL.020328</t>
  </si>
  <si>
    <t>certificate, pardon</t>
  </si>
  <si>
    <t>PL.227739.1888.H14</t>
  </si>
  <si>
    <t>ground_beetle</t>
  </si>
  <si>
    <t>2009.0051.25</t>
  </si>
  <si>
    <t>Brand</t>
  </si>
  <si>
    <t>2015.0200.001</t>
  </si>
  <si>
    <t>torch part</t>
  </si>
  <si>
    <t>PL.315264.1903</t>
  </si>
  <si>
    <t>2004.0024.001</t>
  </si>
  <si>
    <t>signpost</t>
  </si>
  <si>
    <t>woodworking</t>
  </si>
  <si>
    <t>PL.219098.02</t>
  </si>
  <si>
    <t>watch, pocket</t>
  </si>
  <si>
    <t>Pocket watch</t>
  </si>
  <si>
    <t>PL.004685</t>
  </si>
  <si>
    <t>2002.0185.09</t>
  </si>
  <si>
    <t>1977.0680.02</t>
  </si>
  <si>
    <t>PL.242991.146</t>
  </si>
  <si>
    <t>1998.0197.01</t>
  </si>
  <si>
    <t>hoe</t>
  </si>
  <si>
    <t>1995.0027.01</t>
  </si>
  <si>
    <t>booklet</t>
  </si>
  <si>
    <t>PL.227739.1888.D08</t>
  </si>
  <si>
    <t>PL.263784.04</t>
  </si>
  <si>
    <t>2015.0073.01</t>
  </si>
  <si>
    <t>2007.0046.02</t>
  </si>
  <si>
    <t>PL.014951</t>
  </si>
  <si>
    <t>cape</t>
  </si>
  <si>
    <t>PL.015842</t>
  </si>
  <si>
    <t>stone, dungeon</t>
  </si>
  <si>
    <t>1984.0106.09</t>
  </si>
  <si>
    <t>PL.307523.01</t>
  </si>
  <si>
    <t>2011.0036.03</t>
  </si>
  <si>
    <t>1992.0238.03</t>
  </si>
  <si>
    <t>PL.033280.A</t>
  </si>
  <si>
    <t>skirt</t>
  </si>
  <si>
    <t>PL.242991.260</t>
  </si>
  <si>
    <t>signboard</t>
  </si>
  <si>
    <t>jay</t>
  </si>
  <si>
    <t>PL.227739.1889.X02</t>
  </si>
  <si>
    <t>egg</t>
  </si>
  <si>
    <t>Chicken</t>
  </si>
  <si>
    <t>Rooster</t>
  </si>
  <si>
    <t>1981.0529.03</t>
  </si>
  <si>
    <t>PL.227739.1960.X129</t>
  </si>
  <si>
    <t>napkins, set of</t>
  </si>
  <si>
    <t>PL.242991.242</t>
  </si>
  <si>
    <t>fan</t>
  </si>
  <si>
    <t>parking_meter</t>
  </si>
  <si>
    <t>2015.0200.142</t>
  </si>
  <si>
    <t>PL.031819</t>
  </si>
  <si>
    <t>writing box</t>
  </si>
  <si>
    <t>1980.0668.102</t>
  </si>
  <si>
    <t>swimming_trunks</t>
  </si>
  <si>
    <t>PL.032011</t>
  </si>
  <si>
    <t>Folk instrument</t>
  </si>
  <si>
    <t>COLL.MEDKIT.005002</t>
  </si>
  <si>
    <t>medical kit</t>
  </si>
  <si>
    <t>Door</t>
  </si>
  <si>
    <t>PL.295376.01</t>
  </si>
  <si>
    <t>PL.227739.1840.E17 [dup1]</t>
  </si>
  <si>
    <t>1986.0666.010</t>
  </si>
  <si>
    <t>2010.0158.01</t>
  </si>
  <si>
    <t>menorah</t>
  </si>
  <si>
    <t>Candle holder</t>
  </si>
  <si>
    <t>Hanukkah</t>
  </si>
  <si>
    <t>Menorah</t>
  </si>
  <si>
    <t>PL.227739.1860.X01</t>
  </si>
  <si>
    <t>axe</t>
  </si>
  <si>
    <t>Axe</t>
  </si>
  <si>
    <t>2002.0185.12</t>
  </si>
  <si>
    <t>Trademark</t>
  </si>
  <si>
    <t>1994.0369.02</t>
  </si>
  <si>
    <t>magazine</t>
  </si>
  <si>
    <t>2006.0106.17</t>
  </si>
  <si>
    <t>1988.0710.06</t>
  </si>
  <si>
    <t>PL.227739.1884.A20</t>
  </si>
  <si>
    <t>Comic book</t>
  </si>
  <si>
    <t>1992.0255.03</t>
  </si>
  <si>
    <t>2006.0223.12</t>
  </si>
  <si>
    <t>sign, picket</t>
  </si>
  <si>
    <t>PL.227739.1896.X13</t>
  </si>
  <si>
    <t>PL.227739.1952.X124</t>
  </si>
  <si>
    <t>keychain</t>
  </si>
  <si>
    <t>Locket</t>
  </si>
  <si>
    <t>PL.243496.01</t>
  </si>
  <si>
    <t>Brush</t>
  </si>
  <si>
    <t>MC.314686.0149</t>
  </si>
  <si>
    <t>EM.261269</t>
  </si>
  <si>
    <t>EM.181250.01</t>
  </si>
  <si>
    <t>telegraph receiver</t>
  </si>
  <si>
    <t>EM.334247</t>
  </si>
  <si>
    <t>electric kitchen appliance</t>
  </si>
  <si>
    <t>MC.314686.0804</t>
  </si>
  <si>
    <t>1994.3104.01</t>
  </si>
  <si>
    <t>variable scale</t>
  </si>
  <si>
    <t>MC.314686.0429</t>
  </si>
  <si>
    <t>MC.314686.0010</t>
  </si>
  <si>
    <t>MC.314686.0073</t>
  </si>
  <si>
    <t>2010.0043.439</t>
  </si>
  <si>
    <t>MC.314686.0065</t>
  </si>
  <si>
    <t>EM.326664</t>
  </si>
  <si>
    <t>1997.0387.15</t>
  </si>
  <si>
    <t>fluorescent lamp</t>
  </si>
  <si>
    <t>EM.181116</t>
  </si>
  <si>
    <t>Altar</t>
  </si>
  <si>
    <t>EM.316733</t>
  </si>
  <si>
    <t>MC.314686.0147</t>
  </si>
  <si>
    <t>ME.322802</t>
  </si>
  <si>
    <t>2013.3040.08</t>
  </si>
  <si>
    <t>telegraph key</t>
  </si>
  <si>
    <t>Electric guitar</t>
  </si>
  <si>
    <t>MC.314686.0389</t>
  </si>
  <si>
    <t>TR.180182</t>
  </si>
  <si>
    <t>cart</t>
  </si>
  <si>
    <t>Cart</t>
  </si>
  <si>
    <t>Wagon</t>
  </si>
  <si>
    <t>horse_cart</t>
  </si>
  <si>
    <t>MC.314686.0100</t>
  </si>
  <si>
    <t>2012.0012.02</t>
  </si>
  <si>
    <t>hand-held_computer</t>
  </si>
  <si>
    <t>2010.0043.059</t>
  </si>
  <si>
    <t>container, food</t>
  </si>
  <si>
    <t>MC.314686.0793</t>
  </si>
  <si>
    <t>MC.314686.0209</t>
  </si>
  <si>
    <t>MC.314686.0710</t>
  </si>
  <si>
    <t>EM.216045</t>
  </si>
  <si>
    <t>MC.314686.0088</t>
  </si>
  <si>
    <t>MC.314686.0084</t>
  </si>
  <si>
    <t>2014.0122.08</t>
  </si>
  <si>
    <t>MC.314686.0232</t>
  </si>
  <si>
    <t>1998.0181.27</t>
  </si>
  <si>
    <t>orchard heater</t>
  </si>
  <si>
    <t>Mortar and pestle</t>
  </si>
  <si>
    <t>MC.314686.0694</t>
  </si>
  <si>
    <t>1993.0188.035</t>
  </si>
  <si>
    <t>1998.0349.01</t>
  </si>
  <si>
    <t>container</t>
  </si>
  <si>
    <t>MC.314686.0673</t>
  </si>
  <si>
    <t>2014.0098.04</t>
  </si>
  <si>
    <t>quad-core chip, without heat sink</t>
  </si>
  <si>
    <t>EM.231799</t>
  </si>
  <si>
    <t>MC.314686.0627</t>
  </si>
  <si>
    <t>MC.314686.0297</t>
  </si>
  <si>
    <t>2015.3079.01</t>
  </si>
  <si>
    <t>taillight</t>
  </si>
  <si>
    <t>MC.314686.0707</t>
  </si>
  <si>
    <t>MC.314686.0773</t>
  </si>
  <si>
    <t>EM.181670</t>
  </si>
  <si>
    <t>Gong</t>
  </si>
  <si>
    <t>MC.314686.0296</t>
  </si>
  <si>
    <t>2014.0318.01</t>
  </si>
  <si>
    <t>1983.0020.01</t>
  </si>
  <si>
    <t>MC.314686.0002</t>
  </si>
  <si>
    <t>TR.334932</t>
  </si>
  <si>
    <t>railroad cap badge</t>
  </si>
  <si>
    <t>1989.0160.02</t>
  </si>
  <si>
    <t>pneumatic system terminal</t>
  </si>
  <si>
    <t>MC.314686.0142</t>
  </si>
  <si>
    <t>MC.314686.0825</t>
  </si>
  <si>
    <t>1991.0856.53</t>
  </si>
  <si>
    <t>brochure, fares</t>
  </si>
  <si>
    <t>EM.314463</t>
  </si>
  <si>
    <t>resistance bridge</t>
  </si>
  <si>
    <t>MC.314686.0691</t>
  </si>
  <si>
    <t>AG.MHI-MN-9642</t>
  </si>
  <si>
    <t>carving, coal</t>
  </si>
  <si>
    <t>MC.314686.0716</t>
  </si>
  <si>
    <t>2007.0178.29</t>
  </si>
  <si>
    <t>2014.3041.16</t>
  </si>
  <si>
    <t>garment label</t>
  </si>
  <si>
    <t>ME.333963</t>
  </si>
  <si>
    <t>watch</t>
  </si>
  <si>
    <t>EM.215496</t>
  </si>
  <si>
    <t>2010.0125.07</t>
  </si>
  <si>
    <t>dictating machine</t>
  </si>
  <si>
    <t>2011.0173.08</t>
  </si>
  <si>
    <t>2003.0095.054</t>
  </si>
  <si>
    <t>cellular telephone</t>
  </si>
  <si>
    <t>AG.MHI-M-9486</t>
  </si>
  <si>
    <t>brass beer sign</t>
  </si>
  <si>
    <t>MC.314686.0519</t>
  </si>
  <si>
    <t>1997.0388.44</t>
  </si>
  <si>
    <t>MC.314686.0388</t>
  </si>
  <si>
    <t>Bracelet</t>
  </si>
  <si>
    <t>MC.314686.0680</t>
  </si>
  <si>
    <t>MC.308790</t>
  </si>
  <si>
    <t>patent model, rope making machine, wire</t>
  </si>
  <si>
    <t>AG.66A1.038</t>
  </si>
  <si>
    <t>barbed wire section</t>
  </si>
  <si>
    <t>Barbed wire</t>
  </si>
  <si>
    <t>Wire fencing</t>
  </si>
  <si>
    <t>Fence</t>
  </si>
  <si>
    <t>bee_eater</t>
  </si>
  <si>
    <t>MC.314686.0256</t>
  </si>
  <si>
    <t>EM.252663</t>
  </si>
  <si>
    <t>electric motor</t>
  </si>
  <si>
    <t>2016.5004.0759</t>
  </si>
  <si>
    <t>parts, box of</t>
  </si>
  <si>
    <t>1997.0388.32</t>
  </si>
  <si>
    <t>diaper</t>
  </si>
  <si>
    <t>EM.333690</t>
  </si>
  <si>
    <t>MC.314686.0156</t>
  </si>
  <si>
    <t>buckle, three prongs</t>
  </si>
  <si>
    <t>MC.314686.0809</t>
  </si>
  <si>
    <t>MC.314686.0431</t>
  </si>
  <si>
    <t>1981.0217.12</t>
  </si>
  <si>
    <t>TR.323325</t>
  </si>
  <si>
    <t>model, locomotive</t>
  </si>
  <si>
    <t>Locomotive</t>
  </si>
  <si>
    <t>Steam engine</t>
  </si>
  <si>
    <t>drilling_platform</t>
  </si>
  <si>
    <t>snowplow</t>
  </si>
  <si>
    <t>ME.328538</t>
  </si>
  <si>
    <t>time clock</t>
  </si>
  <si>
    <t>MC.314686.0317</t>
  </si>
  <si>
    <t>recreational_vehicle</t>
  </si>
  <si>
    <t>MC.314686.0090</t>
  </si>
  <si>
    <t>TR.319307</t>
  </si>
  <si>
    <t>Transport</t>
  </si>
  <si>
    <t>2017.0091.17a</t>
  </si>
  <si>
    <t>cuff link</t>
  </si>
  <si>
    <t>MC.314686.0233</t>
  </si>
  <si>
    <t>MC.314686.0099</t>
  </si>
  <si>
    <t>2005.0132.12</t>
  </si>
  <si>
    <t>sugarcane harvesting knife</t>
  </si>
  <si>
    <t>1991.0856.48</t>
  </si>
  <si>
    <t>menu, luncheon</t>
  </si>
  <si>
    <t>MC.314686.0050</t>
  </si>
  <si>
    <t>MC.309834</t>
  </si>
  <si>
    <t>indicator, outside spring</t>
  </si>
  <si>
    <t>MC.314686.0584</t>
  </si>
  <si>
    <t>MC.314686.0240</t>
  </si>
  <si>
    <t>MC.314686.0703</t>
  </si>
  <si>
    <t>MC.314686.0286</t>
  </si>
  <si>
    <t>mobile_home</t>
  </si>
  <si>
    <t>AG.53A03.08</t>
  </si>
  <si>
    <t>last, shoe</t>
  </si>
  <si>
    <t>eel</t>
  </si>
  <si>
    <t>1975.314637.5013</t>
  </si>
  <si>
    <t>MC.314686.0284</t>
  </si>
  <si>
    <t>TR.320142</t>
  </si>
  <si>
    <t>MC.314686.0651</t>
  </si>
  <si>
    <t>ringneck_snake</t>
  </si>
  <si>
    <t>MC.314686.0626</t>
  </si>
  <si>
    <t>MC.314686.0612</t>
  </si>
  <si>
    <t>MC.314686.0107</t>
  </si>
  <si>
    <t>MC.314686.0729</t>
  </si>
  <si>
    <t>MC.314686.0886</t>
  </si>
  <si>
    <t>Bow tie</t>
  </si>
  <si>
    <t>MC.314686.0630</t>
  </si>
  <si>
    <t>MC.314686.0226</t>
  </si>
  <si>
    <t>MC.314686.0840</t>
  </si>
  <si>
    <t>MC.314686.0756</t>
  </si>
  <si>
    <t>buckle, decorative</t>
  </si>
  <si>
    <t>1982.0319.01</t>
  </si>
  <si>
    <t>life jacket</t>
  </si>
  <si>
    <t>Vest</t>
  </si>
  <si>
    <t>MC.314686.0406</t>
  </si>
  <si>
    <t>EM.231787</t>
  </si>
  <si>
    <t>EM.332065</t>
  </si>
  <si>
    <t>telegraph unit</t>
  </si>
  <si>
    <t>ME.316148</t>
  </si>
  <si>
    <t>MC.314686.0227</t>
  </si>
  <si>
    <t>EM.328789</t>
  </si>
  <si>
    <t>television transmitting tube</t>
  </si>
  <si>
    <t>Tool accessory</t>
  </si>
  <si>
    <t>ME.287654.11</t>
  </si>
  <si>
    <t>experimental disc sound recording, glass</t>
  </si>
  <si>
    <t>TR.335440</t>
  </si>
  <si>
    <t>lantern, hand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</si>
</sst>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8"/>
  <sheetViews>
    <sheetView tabSelected="1" workbookViewId="0">
      <selection activeCell="A2" sqref="A2"/>
    </sheetView>
  </sheetViews>
  <sheetFormatPr defaultRowHeight="15" x14ac:dyDescent="0.25"/>
  <cols>
    <col min="1" max="1" width="26.28515625" style="3" customWidth="1"/>
    <col min="2" max="2" width="14.5703125" style="3" customWidth="1"/>
    <col min="3" max="3" width="9.85546875" style="3" customWidth="1"/>
    <col min="4" max="4" width="21.7109375" style="3" customWidth="1"/>
    <col min="5" max="5" width="18.85546875" style="4" customWidth="1"/>
    <col min="6" max="6" width="14.85546875" customWidth="1"/>
    <col min="7" max="7" width="13" customWidth="1"/>
    <col min="8" max="8" width="13.5703125" customWidth="1"/>
    <col min="9" max="9" width="14.28515625" customWidth="1"/>
    <col min="10" max="10" width="12.7109375" customWidth="1"/>
    <col min="11" max="11" width="13.28515625" style="4" customWidth="1"/>
    <col min="12" max="12" width="15.85546875" customWidth="1"/>
    <col min="13" max="13" width="13.140625" customWidth="1"/>
    <col min="14" max="14" width="14.140625" customWidth="1"/>
    <col min="15" max="15" width="15.42578125" customWidth="1"/>
    <col min="16" max="16" width="16.28515625" customWidth="1"/>
    <col min="17" max="17" width="14.42578125" style="4" customWidth="1"/>
    <col min="18" max="18" width="13.140625" customWidth="1"/>
    <col min="19" max="19" width="12.7109375" customWidth="1"/>
    <col min="20" max="20" width="12" customWidth="1"/>
    <col min="21" max="21" width="12.42578125" customWidth="1"/>
    <col min="22" max="22" width="11.140625" customWidth="1"/>
    <col min="23" max="23" width="12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 t="str">
        <f>HYPERLINK("http://ids.si.edu/ids/deliveryService?id=NMAH-ET2010-31203-000003","NMAH-ET2010-31203-000003")</f>
        <v>NMAH-ET2010-31203-000003</v>
      </c>
      <c r="B2" s="3" t="s">
        <v>23</v>
      </c>
      <c r="C2" s="3">
        <v>1300736</v>
      </c>
      <c r="D2" s="3" t="s">
        <v>24</v>
      </c>
      <c r="E2" s="4" t="s">
        <v>25</v>
      </c>
      <c r="F2" t="s">
        <v>26</v>
      </c>
      <c r="G2">
        <v>0.99213206768035889</v>
      </c>
      <c r="H2" t="s">
        <v>27</v>
      </c>
      <c r="I2">
        <v>0.98597133159637451</v>
      </c>
      <c r="J2" t="s">
        <v>28</v>
      </c>
      <c r="K2" s="4">
        <v>0.98466277122497559</v>
      </c>
      <c r="L2" t="s">
        <v>32</v>
      </c>
      <c r="M2">
        <v>0.70194036000000004</v>
      </c>
      <c r="N2" t="s">
        <v>33</v>
      </c>
      <c r="O2">
        <v>0.28009774999999998</v>
      </c>
      <c r="P2" t="s">
        <v>34</v>
      </c>
      <c r="Q2" s="4">
        <v>1.2600474E-2</v>
      </c>
      <c r="R2" t="s">
        <v>33</v>
      </c>
      <c r="S2">
        <v>0.38465938</v>
      </c>
      <c r="T2" t="s">
        <v>35</v>
      </c>
      <c r="U2">
        <v>0.18457847999999999</v>
      </c>
      <c r="V2" t="s">
        <v>32</v>
      </c>
      <c r="W2">
        <v>0.13967225</v>
      </c>
    </row>
    <row r="3" spans="1:23" x14ac:dyDescent="0.25">
      <c r="A3" s="3" t="str">
        <f>HYPERLINK("http://ids.si.edu/ids/deliveryService?id=NMAH-AHB2016q015002","NMAH-AHB2016q015002")</f>
        <v>NMAH-AHB2016q015002</v>
      </c>
      <c r="B3" s="3" t="s">
        <v>36</v>
      </c>
      <c r="C3" s="3">
        <v>1591187</v>
      </c>
      <c r="D3" s="3" t="s">
        <v>24</v>
      </c>
      <c r="E3" s="4" t="s">
        <v>37</v>
      </c>
      <c r="F3" t="s">
        <v>38</v>
      </c>
      <c r="G3">
        <v>0.70477479696273804</v>
      </c>
      <c r="H3" t="s">
        <v>39</v>
      </c>
      <c r="I3">
        <v>0.65633249282836914</v>
      </c>
      <c r="J3" t="s">
        <v>40</v>
      </c>
      <c r="K3" s="4">
        <v>0.61514467000961304</v>
      </c>
      <c r="L3" t="s">
        <v>42</v>
      </c>
      <c r="M3">
        <v>0.55285719999999994</v>
      </c>
      <c r="N3" t="s">
        <v>43</v>
      </c>
      <c r="O3">
        <v>0.10383104999999999</v>
      </c>
      <c r="P3" t="s">
        <v>44</v>
      </c>
      <c r="Q3" s="4">
        <v>7.2411630000000005E-2</v>
      </c>
      <c r="R3" t="s">
        <v>42</v>
      </c>
      <c r="S3">
        <v>0.45016857999999998</v>
      </c>
      <c r="T3" t="s">
        <v>45</v>
      </c>
      <c r="U3">
        <v>0.13487256</v>
      </c>
      <c r="V3" t="s">
        <v>46</v>
      </c>
      <c r="W3">
        <v>0.11964327</v>
      </c>
    </row>
    <row r="4" spans="1:23" x14ac:dyDescent="0.25">
      <c r="A4" s="3" t="str">
        <f>HYPERLINK("http://ids.si.edu/ids/deliveryService?id=NMAH-JN2016-00911-000002","NMAH-JN2016-00911-000002")</f>
        <v>NMAH-JN2016-00911-000002</v>
      </c>
      <c r="B4" s="3" t="s">
        <v>47</v>
      </c>
      <c r="C4" s="3">
        <v>1029401</v>
      </c>
      <c r="D4" s="3" t="s">
        <v>24</v>
      </c>
      <c r="E4" s="4" t="s">
        <v>48</v>
      </c>
      <c r="F4" t="s">
        <v>49</v>
      </c>
      <c r="G4">
        <v>0.79768580198287964</v>
      </c>
      <c r="H4" t="s">
        <v>50</v>
      </c>
      <c r="I4">
        <v>0.6591346263885498</v>
      </c>
      <c r="L4" t="s">
        <v>52</v>
      </c>
      <c r="M4">
        <v>0.33353627000000002</v>
      </c>
      <c r="N4" t="s">
        <v>32</v>
      </c>
      <c r="O4">
        <v>0.25254795000000002</v>
      </c>
      <c r="P4" t="s">
        <v>53</v>
      </c>
      <c r="Q4" s="4">
        <v>8.1864364000000009E-2</v>
      </c>
      <c r="R4" t="s">
        <v>53</v>
      </c>
      <c r="S4">
        <v>0.34580359999999988</v>
      </c>
      <c r="T4" t="s">
        <v>52</v>
      </c>
      <c r="U4">
        <v>0.15858895000000001</v>
      </c>
      <c r="V4" t="s">
        <v>32</v>
      </c>
      <c r="W4">
        <v>0.15277249000000001</v>
      </c>
    </row>
    <row r="5" spans="1:23" x14ac:dyDescent="0.25">
      <c r="A5" s="3" t="str">
        <f>HYPERLINK("http://ids.si.edu/ids/deliveryService?id=NMAH-AHB2017q080634","NMAH-AHB2017q080634")</f>
        <v>NMAH-AHB2017q080634</v>
      </c>
      <c r="B5" s="3" t="s">
        <v>54</v>
      </c>
      <c r="C5" s="3">
        <v>1841222</v>
      </c>
      <c r="D5" s="3" t="s">
        <v>24</v>
      </c>
      <c r="E5" s="4" t="s">
        <v>55</v>
      </c>
      <c r="F5" t="s">
        <v>26</v>
      </c>
      <c r="G5">
        <v>0.99213206768035889</v>
      </c>
      <c r="H5" t="s">
        <v>56</v>
      </c>
      <c r="I5">
        <v>0.98586034774780273</v>
      </c>
      <c r="J5" t="s">
        <v>27</v>
      </c>
      <c r="K5" s="4">
        <v>0.97247201204299927</v>
      </c>
      <c r="L5" t="s">
        <v>32</v>
      </c>
      <c r="M5">
        <v>0.96755979999999997</v>
      </c>
      <c r="N5" t="s">
        <v>34</v>
      </c>
      <c r="O5">
        <v>2.7341152000000001E-2</v>
      </c>
      <c r="P5" t="s">
        <v>33</v>
      </c>
      <c r="Q5" s="4">
        <v>4.0847723999999997E-3</v>
      </c>
      <c r="R5" t="s">
        <v>32</v>
      </c>
      <c r="S5">
        <v>0.41576499999999988</v>
      </c>
      <c r="T5" t="s">
        <v>34</v>
      </c>
      <c r="U5">
        <v>0.17048663</v>
      </c>
      <c r="V5" t="s">
        <v>53</v>
      </c>
      <c r="W5">
        <v>7.5443609999999994E-2</v>
      </c>
    </row>
    <row r="6" spans="1:23" x14ac:dyDescent="0.25">
      <c r="A6" s="3" t="str">
        <f>HYPERLINK("http://ids.si.edu/ids/deliveryService?id=NMAH-AHB2014q019172","NMAH-AHB2014q019172")</f>
        <v>NMAH-AHB2014q019172</v>
      </c>
      <c r="B6" s="3" t="s">
        <v>58</v>
      </c>
      <c r="C6" s="3">
        <v>1452089</v>
      </c>
      <c r="D6" s="3" t="s">
        <v>24</v>
      </c>
      <c r="E6" s="4" t="s">
        <v>59</v>
      </c>
      <c r="F6" t="s">
        <v>60</v>
      </c>
      <c r="G6">
        <v>0.95140302181243896</v>
      </c>
      <c r="H6" t="s">
        <v>61</v>
      </c>
      <c r="I6">
        <v>0.93249768018722534</v>
      </c>
      <c r="J6" t="s">
        <v>62</v>
      </c>
      <c r="K6" s="4">
        <v>0.88525456190109253</v>
      </c>
      <c r="L6" t="s">
        <v>29</v>
      </c>
      <c r="M6">
        <v>0.23732373000000001</v>
      </c>
      <c r="N6" t="s">
        <v>65</v>
      </c>
      <c r="O6">
        <v>0.15919499000000001</v>
      </c>
      <c r="P6" t="s">
        <v>66</v>
      </c>
      <c r="Q6" s="4">
        <v>7.3309040000000006E-2</v>
      </c>
      <c r="R6" t="s">
        <v>29</v>
      </c>
      <c r="S6">
        <v>0.57168169999999996</v>
      </c>
      <c r="T6" t="s">
        <v>66</v>
      </c>
      <c r="U6">
        <v>3.9391750000000003E-2</v>
      </c>
      <c r="V6" t="s">
        <v>67</v>
      </c>
      <c r="W6">
        <v>3.5430435000000003E-2</v>
      </c>
    </row>
    <row r="7" spans="1:23" x14ac:dyDescent="0.25">
      <c r="A7" s="3" t="str">
        <f>HYPERLINK("http://ids.si.edu/ids/deliveryService?id=NMAH-AHB2015q025631","NMAH-AHB2015q025631")</f>
        <v>NMAH-AHB2015q025631</v>
      </c>
      <c r="B7" s="3" t="s">
        <v>68</v>
      </c>
      <c r="C7" s="3">
        <v>1434454</v>
      </c>
      <c r="D7" s="3" t="s">
        <v>24</v>
      </c>
      <c r="E7" s="4" t="s">
        <v>69</v>
      </c>
      <c r="F7" t="s">
        <v>26</v>
      </c>
      <c r="G7">
        <v>0.99139916896820068</v>
      </c>
      <c r="H7" t="s">
        <v>27</v>
      </c>
      <c r="I7">
        <v>0.98218262195587158</v>
      </c>
      <c r="J7" t="s">
        <v>70</v>
      </c>
      <c r="K7" s="4">
        <v>0.98025697469711304</v>
      </c>
      <c r="L7" t="s">
        <v>33</v>
      </c>
      <c r="M7">
        <v>0.99928086999999999</v>
      </c>
      <c r="N7" t="s">
        <v>72</v>
      </c>
      <c r="O7">
        <v>2.871145E-4</v>
      </c>
      <c r="P7" t="s">
        <v>32</v>
      </c>
      <c r="Q7" s="4">
        <v>1.9744310000000001E-4</v>
      </c>
      <c r="R7" t="s">
        <v>33</v>
      </c>
      <c r="S7">
        <v>0.91776663000000003</v>
      </c>
      <c r="T7" t="s">
        <v>34</v>
      </c>
      <c r="U7">
        <v>2.5180870000000001E-2</v>
      </c>
      <c r="V7" t="s">
        <v>32</v>
      </c>
      <c r="W7">
        <v>1.5851324E-2</v>
      </c>
    </row>
    <row r="8" spans="1:23" x14ac:dyDescent="0.25">
      <c r="A8" s="3" t="str">
        <f>HYPERLINK("http://ids.si.edu/ids/deliveryService?id=NMAH-AHB2015q017351","NMAH-AHB2015q017351")</f>
        <v>NMAH-AHB2015q017351</v>
      </c>
      <c r="B8" s="3" t="s">
        <v>73</v>
      </c>
      <c r="C8" s="3">
        <v>1759847</v>
      </c>
      <c r="D8" s="3" t="s">
        <v>24</v>
      </c>
      <c r="E8" s="4" t="s">
        <v>74</v>
      </c>
      <c r="F8" t="s">
        <v>61</v>
      </c>
      <c r="G8">
        <v>0.96067434549331665</v>
      </c>
      <c r="H8" t="s">
        <v>75</v>
      </c>
      <c r="I8">
        <v>0.87705177068710327</v>
      </c>
      <c r="J8" t="s">
        <v>76</v>
      </c>
      <c r="K8" s="4">
        <v>0.77304261922836304</v>
      </c>
      <c r="L8" t="s">
        <v>77</v>
      </c>
      <c r="M8">
        <v>0.36154312</v>
      </c>
      <c r="N8" t="s">
        <v>78</v>
      </c>
      <c r="O8">
        <v>0.17961443999999999</v>
      </c>
      <c r="P8" t="s">
        <v>79</v>
      </c>
      <c r="Q8" s="4">
        <v>0.10096242</v>
      </c>
      <c r="R8" t="s">
        <v>66</v>
      </c>
      <c r="S8">
        <v>0.48358427999999998</v>
      </c>
      <c r="T8" t="s">
        <v>77</v>
      </c>
      <c r="U8">
        <v>0.31774384</v>
      </c>
      <c r="V8" t="s">
        <v>79</v>
      </c>
      <c r="W8">
        <v>8.3150186000000001E-2</v>
      </c>
    </row>
    <row r="9" spans="1:23" x14ac:dyDescent="0.25">
      <c r="A9" s="3" t="str">
        <f>HYPERLINK("http://ids.si.edu/ids/deliveryService?id=NMAH-ET2012-13875","NMAH-ET2012-13875")</f>
        <v>NMAH-ET2012-13875</v>
      </c>
      <c r="B9" s="3" t="s">
        <v>80</v>
      </c>
      <c r="C9" s="3">
        <v>417057</v>
      </c>
      <c r="D9" s="3" t="s">
        <v>24</v>
      </c>
      <c r="E9" s="4" t="s">
        <v>81</v>
      </c>
      <c r="F9" t="s">
        <v>26</v>
      </c>
      <c r="G9">
        <v>0.98930084705352783</v>
      </c>
      <c r="H9" t="s">
        <v>27</v>
      </c>
      <c r="I9">
        <v>0.98312872648239136</v>
      </c>
      <c r="J9" t="s">
        <v>56</v>
      </c>
      <c r="K9" s="4">
        <v>0.95202815532684326</v>
      </c>
      <c r="L9" t="s">
        <v>82</v>
      </c>
      <c r="M9">
        <v>0.2478225</v>
      </c>
      <c r="N9" t="s">
        <v>32</v>
      </c>
      <c r="O9">
        <v>0.14540847000000001</v>
      </c>
      <c r="P9" t="s">
        <v>83</v>
      </c>
      <c r="Q9" s="4">
        <v>0.13162808000000001</v>
      </c>
      <c r="R9" t="s">
        <v>82</v>
      </c>
      <c r="S9">
        <v>0.58101106000000002</v>
      </c>
      <c r="T9" t="s">
        <v>32</v>
      </c>
      <c r="U9">
        <v>6.3745679999999999E-2</v>
      </c>
      <c r="V9" t="s">
        <v>84</v>
      </c>
      <c r="W9">
        <v>3.8535199999999999E-2</v>
      </c>
    </row>
    <row r="10" spans="1:23" x14ac:dyDescent="0.25">
      <c r="A10" s="3" t="str">
        <f>HYPERLINK("http://ids.si.edu/ids/deliveryService?id=NMAH-ET2010-28452-000003","NMAH-ET2010-28452-000003")</f>
        <v>NMAH-ET2010-28452-000003</v>
      </c>
      <c r="B10" s="3" t="s">
        <v>85</v>
      </c>
      <c r="C10" s="3">
        <v>438571</v>
      </c>
      <c r="D10" s="3" t="s">
        <v>24</v>
      </c>
      <c r="E10" s="4" t="s">
        <v>25</v>
      </c>
      <c r="F10" t="s">
        <v>26</v>
      </c>
      <c r="G10">
        <v>0.9894518256187439</v>
      </c>
      <c r="H10" t="s">
        <v>28</v>
      </c>
      <c r="I10">
        <v>0.9776187539100647</v>
      </c>
      <c r="J10" t="s">
        <v>27</v>
      </c>
      <c r="K10" s="4">
        <v>0.95042884349822998</v>
      </c>
      <c r="L10" t="s">
        <v>33</v>
      </c>
      <c r="M10">
        <v>0.78580784999999997</v>
      </c>
      <c r="N10" t="s">
        <v>32</v>
      </c>
      <c r="O10">
        <v>0.20694466</v>
      </c>
      <c r="P10" t="s">
        <v>34</v>
      </c>
      <c r="Q10" s="4">
        <v>6.7600239999999999E-3</v>
      </c>
      <c r="R10" t="s">
        <v>87</v>
      </c>
      <c r="S10">
        <v>0.34679510000000002</v>
      </c>
      <c r="T10" t="s">
        <v>32</v>
      </c>
      <c r="U10">
        <v>0.16958065</v>
      </c>
      <c r="V10" t="s">
        <v>33</v>
      </c>
      <c r="W10">
        <v>0.12534587</v>
      </c>
    </row>
    <row r="11" spans="1:23" x14ac:dyDescent="0.25">
      <c r="A11" s="3" t="str">
        <f>HYPERLINK("http://ids.si.edu/ids/deliveryService?id=NMAH-AHB2016q066756","NMAH-AHB2016q066756")</f>
        <v>NMAH-AHB2016q066756</v>
      </c>
      <c r="B11" s="3" t="s">
        <v>88</v>
      </c>
      <c r="C11" s="3">
        <v>1815911</v>
      </c>
      <c r="D11" s="3" t="s">
        <v>24</v>
      </c>
      <c r="E11" s="4" t="s">
        <v>89</v>
      </c>
      <c r="F11" t="s">
        <v>90</v>
      </c>
      <c r="G11">
        <v>0.88748019933700562</v>
      </c>
      <c r="H11" t="s">
        <v>91</v>
      </c>
      <c r="I11">
        <v>0.88283330202102661</v>
      </c>
      <c r="J11" t="s">
        <v>92</v>
      </c>
      <c r="K11" s="4">
        <v>0.73158466815948486</v>
      </c>
      <c r="L11" t="s">
        <v>93</v>
      </c>
      <c r="M11">
        <v>8.3599690000000004E-2</v>
      </c>
      <c r="N11" t="s">
        <v>94</v>
      </c>
      <c r="O11">
        <v>7.6472475999999998E-2</v>
      </c>
      <c r="P11" t="s">
        <v>95</v>
      </c>
      <c r="Q11" s="4">
        <v>7.4701459999999997E-2</v>
      </c>
      <c r="R11" t="s">
        <v>96</v>
      </c>
      <c r="S11">
        <v>0.30638188</v>
      </c>
      <c r="T11" t="s">
        <v>97</v>
      </c>
      <c r="U11">
        <v>0.22813837000000001</v>
      </c>
      <c r="V11" t="s">
        <v>98</v>
      </c>
      <c r="W11">
        <v>8.3476100000000011E-2</v>
      </c>
    </row>
    <row r="12" spans="1:23" x14ac:dyDescent="0.25">
      <c r="A12" s="3" t="str">
        <f>HYPERLINK("http://ids.si.edu/ids/deliveryService?id=NMAH-ET2013-15467-000002","NMAH-ET2013-15467-000002")</f>
        <v>NMAH-ET2013-15467-000002</v>
      </c>
      <c r="B12" s="3" t="s">
        <v>99</v>
      </c>
      <c r="C12" s="3">
        <v>441082</v>
      </c>
      <c r="D12" s="3" t="s">
        <v>24</v>
      </c>
      <c r="E12" s="4" t="s">
        <v>100</v>
      </c>
      <c r="F12" t="s">
        <v>101</v>
      </c>
      <c r="G12">
        <v>0.97898286581039429</v>
      </c>
      <c r="H12" t="s">
        <v>102</v>
      </c>
      <c r="I12">
        <v>0.9334302544593811</v>
      </c>
      <c r="J12" t="s">
        <v>103</v>
      </c>
      <c r="K12" s="4">
        <v>0.92988532781600952</v>
      </c>
      <c r="L12" t="s">
        <v>104</v>
      </c>
      <c r="M12">
        <v>0.88892850000000001</v>
      </c>
      <c r="N12" t="s">
        <v>105</v>
      </c>
      <c r="O12">
        <v>5.7872508000000003E-2</v>
      </c>
      <c r="P12" t="s">
        <v>106</v>
      </c>
      <c r="Q12" s="4">
        <v>5.8728530000000008E-3</v>
      </c>
      <c r="R12" t="s">
        <v>107</v>
      </c>
      <c r="S12">
        <v>0.28767981999999997</v>
      </c>
      <c r="T12" t="s">
        <v>106</v>
      </c>
      <c r="U12">
        <v>7.7230149999999997E-2</v>
      </c>
      <c r="V12" t="s">
        <v>108</v>
      </c>
      <c r="W12">
        <v>5.4673105E-2</v>
      </c>
    </row>
    <row r="13" spans="1:23" x14ac:dyDescent="0.25">
      <c r="A13" s="3" t="str">
        <f>HYPERLINK("http://ids.si.edu/ids/deliveryService?id=NMAH-AHB2016q015243","NMAH-AHB2016q015243")</f>
        <v>NMAH-AHB2016q015243</v>
      </c>
      <c r="B13" s="3" t="s">
        <v>109</v>
      </c>
      <c r="C13" s="3">
        <v>1805973</v>
      </c>
      <c r="D13" s="3" t="s">
        <v>24</v>
      </c>
      <c r="E13" s="4" t="s">
        <v>110</v>
      </c>
      <c r="F13" t="s">
        <v>61</v>
      </c>
      <c r="G13">
        <v>0.9754825234413147</v>
      </c>
      <c r="H13" t="s">
        <v>111</v>
      </c>
      <c r="I13">
        <v>0.85995465517044067</v>
      </c>
      <c r="J13" t="s">
        <v>112</v>
      </c>
      <c r="K13" s="4">
        <v>0.80401664972305298</v>
      </c>
      <c r="L13" t="s">
        <v>77</v>
      </c>
      <c r="M13">
        <v>0.69946754</v>
      </c>
      <c r="N13" t="s">
        <v>29</v>
      </c>
      <c r="O13">
        <v>0.20218669</v>
      </c>
      <c r="P13" t="s">
        <v>79</v>
      </c>
      <c r="Q13" s="4">
        <v>3.4620027999999997E-2</v>
      </c>
      <c r="R13" t="s">
        <v>29</v>
      </c>
      <c r="S13">
        <v>0.44807871999999999</v>
      </c>
      <c r="T13" t="s">
        <v>77</v>
      </c>
      <c r="U13">
        <v>0.35783520000000002</v>
      </c>
      <c r="V13" t="s">
        <v>79</v>
      </c>
      <c r="W13">
        <v>0.10318231</v>
      </c>
    </row>
    <row r="14" spans="1:23" x14ac:dyDescent="0.25">
      <c r="A14" s="3" t="str">
        <f>HYPERLINK("http://ids.si.edu/ids/deliveryService?id=NMAH-AHB2017q080632","NMAH-AHB2017q080632")</f>
        <v>NMAH-AHB2017q080632</v>
      </c>
      <c r="B14" s="3" t="s">
        <v>114</v>
      </c>
      <c r="C14" s="3">
        <v>1841221</v>
      </c>
      <c r="D14" s="3" t="s">
        <v>24</v>
      </c>
      <c r="E14" s="4" t="s">
        <v>55</v>
      </c>
      <c r="F14" t="s">
        <v>26</v>
      </c>
      <c r="G14">
        <v>0.99213206768035889</v>
      </c>
      <c r="H14" t="s">
        <v>56</v>
      </c>
      <c r="I14">
        <v>0.98710769414901733</v>
      </c>
      <c r="J14" t="s">
        <v>27</v>
      </c>
      <c r="K14" s="4">
        <v>0.97788780927658081</v>
      </c>
      <c r="L14" t="s">
        <v>32</v>
      </c>
      <c r="M14">
        <v>0.94115216000000002</v>
      </c>
      <c r="N14" t="s">
        <v>34</v>
      </c>
      <c r="O14">
        <v>4.6822007999999998E-2</v>
      </c>
      <c r="P14" t="s">
        <v>33</v>
      </c>
      <c r="Q14" s="4">
        <v>5.2307121999999994E-3</v>
      </c>
      <c r="R14" t="s">
        <v>32</v>
      </c>
      <c r="S14">
        <v>0.54867709999999992</v>
      </c>
      <c r="T14" t="s">
        <v>34</v>
      </c>
      <c r="U14">
        <v>0.19336627000000001</v>
      </c>
      <c r="V14" t="s">
        <v>53</v>
      </c>
      <c r="W14">
        <v>6.7928194999999997E-2</v>
      </c>
    </row>
    <row r="15" spans="1:23" x14ac:dyDescent="0.25">
      <c r="A15" s="3" t="str">
        <f>HYPERLINK("http://ids.si.edu/ids/deliveryService?id=NMAH-ET2012-13902","NMAH-ET2012-13902")</f>
        <v>NMAH-ET2012-13902</v>
      </c>
      <c r="B15" s="3" t="s">
        <v>115</v>
      </c>
      <c r="C15" s="3">
        <v>416722</v>
      </c>
      <c r="D15" s="3" t="s">
        <v>24</v>
      </c>
      <c r="E15" s="4" t="s">
        <v>116</v>
      </c>
      <c r="F15" t="s">
        <v>26</v>
      </c>
      <c r="G15">
        <v>0.99114018678665161</v>
      </c>
      <c r="H15" t="s">
        <v>27</v>
      </c>
      <c r="I15">
        <v>0.98838073015213013</v>
      </c>
      <c r="J15" t="s">
        <v>56</v>
      </c>
      <c r="K15" s="4">
        <v>0.96161735057830811</v>
      </c>
      <c r="L15" t="s">
        <v>32</v>
      </c>
      <c r="M15">
        <v>0.43224603</v>
      </c>
      <c r="N15" t="s">
        <v>33</v>
      </c>
      <c r="O15">
        <v>0.17617163</v>
      </c>
      <c r="P15" t="s">
        <v>34</v>
      </c>
      <c r="Q15" s="4">
        <v>0.17225135999999999</v>
      </c>
      <c r="R15" t="s">
        <v>82</v>
      </c>
      <c r="S15">
        <v>0.50764860000000001</v>
      </c>
      <c r="T15" t="s">
        <v>35</v>
      </c>
      <c r="U15">
        <v>6.3584470000000004E-2</v>
      </c>
      <c r="V15" t="s">
        <v>33</v>
      </c>
      <c r="W15">
        <v>6.1764567999999999E-2</v>
      </c>
    </row>
    <row r="16" spans="1:23" x14ac:dyDescent="0.25">
      <c r="A16" s="3" t="str">
        <f>HYPERLINK("http://ids.si.edu/ids/deliveryService?id=NMAH-ET2013-15585","NMAH-ET2013-15585")</f>
        <v>NMAH-ET2013-15585</v>
      </c>
      <c r="B16" s="3" t="s">
        <v>117</v>
      </c>
      <c r="C16" s="3">
        <v>445155</v>
      </c>
      <c r="D16" s="3" t="s">
        <v>24</v>
      </c>
      <c r="E16" s="4" t="s">
        <v>118</v>
      </c>
      <c r="F16" t="s">
        <v>101</v>
      </c>
      <c r="G16">
        <v>0.96253043413162231</v>
      </c>
      <c r="H16" t="s">
        <v>119</v>
      </c>
      <c r="I16">
        <v>0.95920401811599731</v>
      </c>
      <c r="J16" t="s">
        <v>120</v>
      </c>
      <c r="K16" s="4">
        <v>0.92729538679122925</v>
      </c>
      <c r="L16" t="s">
        <v>121</v>
      </c>
      <c r="M16">
        <v>0.53897494000000001</v>
      </c>
      <c r="N16" t="s">
        <v>122</v>
      </c>
      <c r="O16">
        <v>0.46100967999999998</v>
      </c>
      <c r="P16" t="s">
        <v>123</v>
      </c>
      <c r="Q16" s="4">
        <v>7.9024090000000004E-6</v>
      </c>
      <c r="R16" t="s">
        <v>123</v>
      </c>
      <c r="S16">
        <v>0.42095392999999998</v>
      </c>
      <c r="T16" t="s">
        <v>122</v>
      </c>
      <c r="U16">
        <v>0.39794084000000002</v>
      </c>
      <c r="V16" t="s">
        <v>121</v>
      </c>
      <c r="W16">
        <v>0.11425937</v>
      </c>
    </row>
    <row r="17" spans="1:23" x14ac:dyDescent="0.25">
      <c r="A17" s="3" t="str">
        <f>HYPERLINK("http://ids.si.edu/ids/deliveryService?id=NMAH-AHB2014q025860","NMAH-AHB2014q025860")</f>
        <v>NMAH-AHB2014q025860</v>
      </c>
      <c r="B17" s="3" t="s">
        <v>124</v>
      </c>
      <c r="C17" s="3">
        <v>447847</v>
      </c>
      <c r="D17" s="3" t="s">
        <v>24</v>
      </c>
      <c r="E17" s="4" t="s">
        <v>125</v>
      </c>
      <c r="F17" t="s">
        <v>126</v>
      </c>
      <c r="G17">
        <v>0.86412310600280762</v>
      </c>
      <c r="H17" t="s">
        <v>127</v>
      </c>
      <c r="I17">
        <v>0.58153992891311646</v>
      </c>
      <c r="J17" t="s">
        <v>128</v>
      </c>
      <c r="K17" s="4">
        <v>0.57243633270263672</v>
      </c>
      <c r="L17" t="s">
        <v>29</v>
      </c>
      <c r="M17">
        <v>0.8269919</v>
      </c>
      <c r="N17" t="s">
        <v>65</v>
      </c>
      <c r="O17">
        <v>3.5360799999999998E-2</v>
      </c>
      <c r="P17" t="s">
        <v>51</v>
      </c>
      <c r="Q17" s="4">
        <v>3.0928359999999998E-2</v>
      </c>
      <c r="R17" t="s">
        <v>29</v>
      </c>
      <c r="S17">
        <v>0.97155106000000002</v>
      </c>
      <c r="T17" t="s">
        <v>65</v>
      </c>
      <c r="U17">
        <v>1.2142616E-2</v>
      </c>
      <c r="V17" t="s">
        <v>129</v>
      </c>
      <c r="W17">
        <v>7.7107013E-3</v>
      </c>
    </row>
    <row r="18" spans="1:23" x14ac:dyDescent="0.25">
      <c r="A18" s="3" t="str">
        <f>HYPERLINK("http://ids.si.edu/ids/deliveryService?id=NMAH-ET2013-17214-000002","NMAH-ET2013-17214-000002")</f>
        <v>NMAH-ET2013-17214-000002</v>
      </c>
      <c r="B18" s="3" t="s">
        <v>130</v>
      </c>
      <c r="C18" s="3">
        <v>398524</v>
      </c>
      <c r="D18" s="3" t="s">
        <v>24</v>
      </c>
      <c r="E18" s="4" t="s">
        <v>131</v>
      </c>
      <c r="F18" t="s">
        <v>101</v>
      </c>
      <c r="G18">
        <v>0.96803432703018188</v>
      </c>
      <c r="H18" t="s">
        <v>103</v>
      </c>
      <c r="I18">
        <v>0.88404852151870728</v>
      </c>
      <c r="J18" t="s">
        <v>132</v>
      </c>
      <c r="K18" s="4">
        <v>0.83633017539978027</v>
      </c>
      <c r="L18" t="s">
        <v>108</v>
      </c>
      <c r="M18">
        <v>0.44569698000000002</v>
      </c>
      <c r="N18" t="s">
        <v>105</v>
      </c>
      <c r="O18">
        <v>8.2284940000000001E-2</v>
      </c>
      <c r="P18" t="s">
        <v>133</v>
      </c>
      <c r="Q18" s="4">
        <v>7.6809033999999998E-2</v>
      </c>
      <c r="R18" t="s">
        <v>108</v>
      </c>
      <c r="S18">
        <v>0.17591108</v>
      </c>
      <c r="T18" t="s">
        <v>134</v>
      </c>
      <c r="U18">
        <v>0.15243739000000001</v>
      </c>
      <c r="V18" t="s">
        <v>135</v>
      </c>
      <c r="W18">
        <v>9.7763059999999999E-2</v>
      </c>
    </row>
    <row r="19" spans="1:23" x14ac:dyDescent="0.25">
      <c r="A19" s="3" t="str">
        <f>HYPERLINK("http://ids.si.edu/ids/deliveryService?id=NMAH-ET2013-16310","NMAH-ET2013-16310")</f>
        <v>NMAH-ET2013-16310</v>
      </c>
      <c r="B19" s="3" t="s">
        <v>136</v>
      </c>
      <c r="C19" s="3">
        <v>441816</v>
      </c>
      <c r="D19" s="3" t="s">
        <v>24</v>
      </c>
      <c r="E19" s="4" t="s">
        <v>137</v>
      </c>
      <c r="F19" t="s">
        <v>138</v>
      </c>
      <c r="G19">
        <v>0.93597251176834106</v>
      </c>
      <c r="H19" t="s">
        <v>139</v>
      </c>
      <c r="I19">
        <v>0.93455314636230469</v>
      </c>
      <c r="J19" t="s">
        <v>140</v>
      </c>
      <c r="K19" s="4">
        <v>0.93167734146118164</v>
      </c>
      <c r="L19" t="s">
        <v>87</v>
      </c>
      <c r="M19">
        <v>0.87793999999999994</v>
      </c>
      <c r="N19" t="s">
        <v>83</v>
      </c>
      <c r="O19">
        <v>0.11957195</v>
      </c>
      <c r="P19" t="s">
        <v>53</v>
      </c>
      <c r="Q19" s="4">
        <v>6.3092604999999999E-4</v>
      </c>
      <c r="R19" t="s">
        <v>87</v>
      </c>
      <c r="S19">
        <v>0.37492653999999997</v>
      </c>
      <c r="T19" t="s">
        <v>83</v>
      </c>
      <c r="U19">
        <v>0.23906374999999999</v>
      </c>
      <c r="V19" t="s">
        <v>141</v>
      </c>
      <c r="W19">
        <v>0.1942461</v>
      </c>
    </row>
    <row r="20" spans="1:23" x14ac:dyDescent="0.25">
      <c r="A20" s="3" t="str">
        <f>HYPERLINK("http://ids.si.edu/ids/deliveryService?id=NMAH-AHB2014q019190","NMAH-AHB2014q019190")</f>
        <v>NMAH-AHB2014q019190</v>
      </c>
      <c r="B20" s="3" t="s">
        <v>142</v>
      </c>
      <c r="C20" s="3">
        <v>1452079</v>
      </c>
      <c r="D20" s="3" t="s">
        <v>24</v>
      </c>
      <c r="E20" s="4" t="s">
        <v>59</v>
      </c>
      <c r="F20" t="s">
        <v>61</v>
      </c>
      <c r="G20">
        <v>0.9458356499671936</v>
      </c>
      <c r="H20" t="s">
        <v>112</v>
      </c>
      <c r="I20">
        <v>0.80401664972305298</v>
      </c>
      <c r="J20" t="s">
        <v>143</v>
      </c>
      <c r="K20" s="4">
        <v>0.7408301830291748</v>
      </c>
      <c r="L20" t="s">
        <v>29</v>
      </c>
      <c r="M20">
        <v>0.42347257999999999</v>
      </c>
      <c r="N20" t="s">
        <v>65</v>
      </c>
      <c r="O20">
        <v>8.5203119999999993E-2</v>
      </c>
      <c r="P20" t="s">
        <v>66</v>
      </c>
      <c r="Q20" s="4">
        <v>4.0006875999999997E-2</v>
      </c>
      <c r="R20" t="s">
        <v>29</v>
      </c>
      <c r="S20">
        <v>0.74509180000000008</v>
      </c>
      <c r="T20" t="s">
        <v>144</v>
      </c>
      <c r="U20">
        <v>1.8527434999999998E-2</v>
      </c>
      <c r="V20" t="s">
        <v>67</v>
      </c>
      <c r="W20">
        <v>1.5688312999999999E-2</v>
      </c>
    </row>
    <row r="21" spans="1:23" x14ac:dyDescent="0.25">
      <c r="A21" s="3" t="str">
        <f>HYPERLINK("http://ids.si.edu/ids/deliveryService?id=NMAH-AHB2016q067090","NMAH-AHB2016q067090")</f>
        <v>NMAH-AHB2016q067090</v>
      </c>
      <c r="B21" s="3" t="s">
        <v>145</v>
      </c>
      <c r="C21" s="3">
        <v>1816517</v>
      </c>
      <c r="D21" s="3" t="s">
        <v>24</v>
      </c>
      <c r="E21" s="4" t="s">
        <v>146</v>
      </c>
      <c r="F21" t="s">
        <v>91</v>
      </c>
      <c r="G21">
        <v>0.93479853868484497</v>
      </c>
      <c r="H21" t="s">
        <v>147</v>
      </c>
      <c r="I21">
        <v>0.87051481008529663</v>
      </c>
      <c r="J21" t="s">
        <v>38</v>
      </c>
      <c r="K21" s="4">
        <v>0.70477479696273804</v>
      </c>
      <c r="L21" t="s">
        <v>148</v>
      </c>
      <c r="M21">
        <v>7.6104089999999999E-2</v>
      </c>
      <c r="N21" t="s">
        <v>149</v>
      </c>
      <c r="O21">
        <v>5.5986731999999997E-2</v>
      </c>
      <c r="P21" t="s">
        <v>150</v>
      </c>
      <c r="Q21" s="4">
        <v>4.8760455000000001E-2</v>
      </c>
      <c r="R21" t="s">
        <v>151</v>
      </c>
      <c r="S21">
        <v>0.3486998</v>
      </c>
      <c r="T21" t="s">
        <v>93</v>
      </c>
      <c r="U21">
        <v>0.14489715</v>
      </c>
      <c r="V21" t="s">
        <v>152</v>
      </c>
      <c r="W21">
        <v>7.6326534000000001E-2</v>
      </c>
    </row>
    <row r="22" spans="1:23" x14ac:dyDescent="0.25">
      <c r="A22" s="3" t="str">
        <f>HYPERLINK("http://ids.si.edu/ids/deliveryService?id=NMAH-ET2013-15388","NMAH-ET2013-15388")</f>
        <v>NMAH-ET2013-15388</v>
      </c>
      <c r="B22" s="3" t="s">
        <v>153</v>
      </c>
      <c r="C22" s="3">
        <v>1446132</v>
      </c>
      <c r="D22" s="3" t="s">
        <v>24</v>
      </c>
      <c r="E22" s="4" t="s">
        <v>154</v>
      </c>
      <c r="F22" t="s">
        <v>155</v>
      </c>
      <c r="G22">
        <v>0.58733850717544556</v>
      </c>
      <c r="L22" t="s">
        <v>156</v>
      </c>
      <c r="M22">
        <v>0.13852723</v>
      </c>
      <c r="N22" t="s">
        <v>157</v>
      </c>
      <c r="O22">
        <v>0.11527411999999999</v>
      </c>
      <c r="P22" t="s">
        <v>53</v>
      </c>
      <c r="Q22" s="4">
        <v>0.11219700000000001</v>
      </c>
      <c r="R22" t="s">
        <v>158</v>
      </c>
      <c r="S22">
        <v>0.13687041</v>
      </c>
      <c r="T22" t="s">
        <v>157</v>
      </c>
      <c r="U22">
        <v>6.2513575000000002E-2</v>
      </c>
      <c r="V22" t="s">
        <v>159</v>
      </c>
      <c r="W22">
        <v>4.9492455999999997E-2</v>
      </c>
    </row>
    <row r="23" spans="1:23" x14ac:dyDescent="0.25">
      <c r="A23" s="3" t="str">
        <f>HYPERLINK("http://ids.si.edu/ids/deliveryService?id=NMAH-ET2013-16868","NMAH-ET2013-16868")</f>
        <v>NMAH-ET2013-16868</v>
      </c>
      <c r="B23" s="3" t="s">
        <v>160</v>
      </c>
      <c r="C23" s="3">
        <v>445645</v>
      </c>
      <c r="D23" s="3" t="s">
        <v>24</v>
      </c>
      <c r="E23" s="4" t="s">
        <v>100</v>
      </c>
      <c r="F23" t="s">
        <v>101</v>
      </c>
      <c r="G23">
        <v>0.97993797063827515</v>
      </c>
      <c r="H23" t="s">
        <v>103</v>
      </c>
      <c r="I23">
        <v>0.94769346714019775</v>
      </c>
      <c r="J23" t="s">
        <v>102</v>
      </c>
      <c r="K23" s="4">
        <v>0.94151568412780762</v>
      </c>
      <c r="L23" t="s">
        <v>104</v>
      </c>
      <c r="M23">
        <v>0.77590539999999997</v>
      </c>
      <c r="N23" t="s">
        <v>105</v>
      </c>
      <c r="O23">
        <v>0.11166479999999999</v>
      </c>
      <c r="P23" t="s">
        <v>123</v>
      </c>
      <c r="Q23" s="4">
        <v>2.1403479999999999E-2</v>
      </c>
      <c r="R23" t="s">
        <v>108</v>
      </c>
      <c r="S23">
        <v>9.8803660000000001E-2</v>
      </c>
      <c r="T23" t="s">
        <v>105</v>
      </c>
      <c r="U23">
        <v>9.4594730000000002E-2</v>
      </c>
      <c r="V23" t="s">
        <v>161</v>
      </c>
      <c r="W23">
        <v>7.3227970000000003E-2</v>
      </c>
    </row>
    <row r="24" spans="1:23" x14ac:dyDescent="0.25">
      <c r="A24" s="3" t="str">
        <f>HYPERLINK("http://ids.si.edu/ids/deliveryService?id=NMAH-ET2011-37233","NMAH-ET2011-37233")</f>
        <v>NMAH-ET2011-37233</v>
      </c>
      <c r="B24" s="3" t="s">
        <v>162</v>
      </c>
      <c r="C24" s="3">
        <v>438600</v>
      </c>
      <c r="D24" s="3" t="s">
        <v>24</v>
      </c>
      <c r="E24" s="4" t="s">
        <v>163</v>
      </c>
      <c r="F24" t="s">
        <v>26</v>
      </c>
      <c r="G24">
        <v>0.99235647916793823</v>
      </c>
      <c r="H24" t="s">
        <v>27</v>
      </c>
      <c r="I24">
        <v>0.99205523729324341</v>
      </c>
      <c r="J24" t="s">
        <v>70</v>
      </c>
      <c r="K24" s="4">
        <v>0.98566442728042603</v>
      </c>
      <c r="L24" t="s">
        <v>33</v>
      </c>
      <c r="M24">
        <v>0.98597217000000004</v>
      </c>
      <c r="N24" t="s">
        <v>32</v>
      </c>
      <c r="O24">
        <v>8.3132640000000008E-3</v>
      </c>
      <c r="P24" t="s">
        <v>34</v>
      </c>
      <c r="Q24" s="4">
        <v>2.315325E-3</v>
      </c>
      <c r="R24" t="s">
        <v>35</v>
      </c>
      <c r="S24">
        <v>0.32017672000000003</v>
      </c>
      <c r="T24" t="s">
        <v>33</v>
      </c>
      <c r="U24">
        <v>0.13626521999999999</v>
      </c>
      <c r="V24" t="s">
        <v>159</v>
      </c>
      <c r="W24">
        <v>0.10110835</v>
      </c>
    </row>
    <row r="25" spans="1:23" x14ac:dyDescent="0.25">
      <c r="A25" s="3" t="str">
        <f>HYPERLINK("http://ids.si.edu/ids/deliveryService?id=NMAH-ET2013-15469","NMAH-ET2013-15469")</f>
        <v>NMAH-ET2013-15469</v>
      </c>
      <c r="B25" s="3" t="s">
        <v>164</v>
      </c>
      <c r="C25" s="3">
        <v>446362</v>
      </c>
      <c r="D25" s="3" t="s">
        <v>24</v>
      </c>
      <c r="E25" s="4" t="s">
        <v>100</v>
      </c>
      <c r="F25" t="s">
        <v>101</v>
      </c>
      <c r="G25">
        <v>0.97898286581039429</v>
      </c>
      <c r="H25" t="s">
        <v>103</v>
      </c>
      <c r="I25">
        <v>0.93474829196929932</v>
      </c>
      <c r="J25" t="s">
        <v>165</v>
      </c>
      <c r="K25" s="4">
        <v>0.84734368324279785</v>
      </c>
      <c r="L25" t="s">
        <v>104</v>
      </c>
      <c r="M25">
        <v>0.35448911999999999</v>
      </c>
      <c r="N25" t="s">
        <v>123</v>
      </c>
      <c r="O25">
        <v>0.12532560000000001</v>
      </c>
      <c r="P25" t="s">
        <v>166</v>
      </c>
      <c r="Q25" s="4">
        <v>0.11229562</v>
      </c>
      <c r="R25" t="s">
        <v>167</v>
      </c>
      <c r="S25">
        <v>0.15075953</v>
      </c>
      <c r="T25" t="s">
        <v>168</v>
      </c>
      <c r="U25">
        <v>0.10557579</v>
      </c>
      <c r="V25" t="s">
        <v>104</v>
      </c>
      <c r="W25">
        <v>9.1317624E-2</v>
      </c>
    </row>
    <row r="26" spans="1:23" x14ac:dyDescent="0.25">
      <c r="A26" s="3" t="str">
        <f>HYPERLINK("http://ids.si.edu/ids/deliveryService?id=NMAH-ET2012-13922","NMAH-ET2012-13922")</f>
        <v>NMAH-ET2012-13922</v>
      </c>
      <c r="B26" s="3" t="s">
        <v>169</v>
      </c>
      <c r="C26" s="3">
        <v>414953</v>
      </c>
      <c r="D26" s="3" t="s">
        <v>24</v>
      </c>
      <c r="E26" s="4" t="s">
        <v>32</v>
      </c>
      <c r="F26" t="s">
        <v>26</v>
      </c>
      <c r="G26">
        <v>0.97743165493011475</v>
      </c>
      <c r="H26" t="s">
        <v>56</v>
      </c>
      <c r="I26">
        <v>0.95395457744598389</v>
      </c>
      <c r="J26" t="s">
        <v>27</v>
      </c>
      <c r="K26" s="4">
        <v>0.95042884349822998</v>
      </c>
      <c r="L26" t="s">
        <v>33</v>
      </c>
      <c r="M26">
        <v>0.13545768</v>
      </c>
      <c r="N26" t="s">
        <v>84</v>
      </c>
      <c r="O26">
        <v>0.110366136</v>
      </c>
      <c r="P26" t="s">
        <v>170</v>
      </c>
      <c r="Q26" s="4">
        <v>5.0454012999999999E-2</v>
      </c>
      <c r="R26" t="s">
        <v>82</v>
      </c>
      <c r="S26">
        <v>0.19436422</v>
      </c>
      <c r="T26" t="s">
        <v>83</v>
      </c>
      <c r="U26">
        <v>0.12520765</v>
      </c>
      <c r="V26" t="s">
        <v>84</v>
      </c>
      <c r="W26">
        <v>7.6160560000000002E-2</v>
      </c>
    </row>
    <row r="27" spans="1:23" x14ac:dyDescent="0.25">
      <c r="A27" s="3" t="str">
        <f>HYPERLINK("http://ids.si.edu/ids/deliveryService?id=NMAH-ET2010-28609-000003","NMAH-ET2010-28609-000003")</f>
        <v>NMAH-ET2010-28609-000003</v>
      </c>
      <c r="B27" s="3" t="s">
        <v>171</v>
      </c>
      <c r="C27" s="3">
        <v>438575</v>
      </c>
      <c r="D27" s="3" t="s">
        <v>24</v>
      </c>
      <c r="E27" s="4" t="s">
        <v>25</v>
      </c>
      <c r="F27" t="s">
        <v>26</v>
      </c>
      <c r="G27">
        <v>0.99189597368240356</v>
      </c>
      <c r="H27" t="s">
        <v>27</v>
      </c>
      <c r="I27">
        <v>0.98838073015213013</v>
      </c>
      <c r="J27" t="s">
        <v>28</v>
      </c>
      <c r="K27" s="4">
        <v>0.97662854194641113</v>
      </c>
      <c r="L27" t="s">
        <v>33</v>
      </c>
      <c r="M27">
        <v>0.4725684</v>
      </c>
      <c r="N27" t="s">
        <v>172</v>
      </c>
      <c r="O27">
        <v>0.33140942000000001</v>
      </c>
      <c r="P27" t="s">
        <v>173</v>
      </c>
      <c r="Q27" s="4">
        <v>9.1690569999999999E-2</v>
      </c>
      <c r="R27" t="s">
        <v>174</v>
      </c>
      <c r="S27">
        <v>0.42054079999999988</v>
      </c>
      <c r="T27" t="s">
        <v>33</v>
      </c>
      <c r="U27">
        <v>9.3948970000000007E-2</v>
      </c>
      <c r="V27" t="s">
        <v>175</v>
      </c>
      <c r="W27">
        <v>8.0822179999999993E-2</v>
      </c>
    </row>
    <row r="28" spans="1:23" x14ac:dyDescent="0.25">
      <c r="A28" s="3" t="str">
        <f>HYPERLINK("http://ids.si.edu/ids/deliveryService?id=NMAH-ET2017-02870-000001","NMAH-ET2017-02870-000001")</f>
        <v>NMAH-ET2017-02870-000001</v>
      </c>
      <c r="B28" s="3" t="s">
        <v>176</v>
      </c>
      <c r="C28" s="3">
        <v>1802993</v>
      </c>
      <c r="D28" s="3" t="s">
        <v>24</v>
      </c>
      <c r="E28" s="4" t="s">
        <v>177</v>
      </c>
      <c r="F28" t="s">
        <v>178</v>
      </c>
      <c r="G28">
        <v>0.98716294765472412</v>
      </c>
      <c r="H28" t="s">
        <v>179</v>
      </c>
      <c r="I28">
        <v>0.94808685779571533</v>
      </c>
      <c r="J28" t="s">
        <v>180</v>
      </c>
      <c r="K28" s="4">
        <v>0.89393997192382813</v>
      </c>
      <c r="L28" t="s">
        <v>181</v>
      </c>
      <c r="M28">
        <v>0.16145097</v>
      </c>
      <c r="N28" t="s">
        <v>182</v>
      </c>
      <c r="O28">
        <v>9.9771159999999998E-2</v>
      </c>
      <c r="P28" t="s">
        <v>183</v>
      </c>
      <c r="Q28" s="4">
        <v>8.5238110000000006E-2</v>
      </c>
      <c r="R28" t="s">
        <v>184</v>
      </c>
      <c r="S28">
        <v>0.21009463</v>
      </c>
      <c r="T28" t="s">
        <v>185</v>
      </c>
      <c r="U28">
        <v>5.9283540000000003E-2</v>
      </c>
      <c r="V28" t="s">
        <v>177</v>
      </c>
      <c r="W28">
        <v>3.7635736000000003E-2</v>
      </c>
    </row>
    <row r="29" spans="1:23" x14ac:dyDescent="0.25">
      <c r="A29" s="3" t="str">
        <f>HYPERLINK("http://ids.si.edu/ids/deliveryService?id=NMAH-RWS2016-08875","NMAH-RWS2016-08875")</f>
        <v>NMAH-RWS2016-08875</v>
      </c>
      <c r="B29" s="3" t="s">
        <v>186</v>
      </c>
      <c r="C29" s="3">
        <v>1804796</v>
      </c>
      <c r="D29" s="3" t="s">
        <v>24</v>
      </c>
      <c r="E29" s="4" t="s">
        <v>187</v>
      </c>
      <c r="F29" t="s">
        <v>188</v>
      </c>
      <c r="G29">
        <v>0.57736802101135254</v>
      </c>
      <c r="L29" t="s">
        <v>45</v>
      </c>
      <c r="M29">
        <v>0.18826012</v>
      </c>
      <c r="N29" t="s">
        <v>41</v>
      </c>
      <c r="O29">
        <v>7.8902005999999997E-2</v>
      </c>
      <c r="P29" t="s">
        <v>189</v>
      </c>
      <c r="Q29" s="4">
        <v>4.8333567000000001E-2</v>
      </c>
      <c r="R29" t="s">
        <v>190</v>
      </c>
      <c r="S29">
        <v>0.42436525000000003</v>
      </c>
      <c r="T29" t="s">
        <v>191</v>
      </c>
      <c r="U29">
        <v>0.10975786</v>
      </c>
      <c r="V29" t="s">
        <v>41</v>
      </c>
      <c r="W29">
        <v>7.7079060000000005E-2</v>
      </c>
    </row>
    <row r="30" spans="1:23" x14ac:dyDescent="0.25">
      <c r="A30" s="3" t="str">
        <f>HYPERLINK("http://ids.si.edu/ids/deliveryService?id=NMAH-ET2013-16641","NMAH-ET2013-16641")</f>
        <v>NMAH-ET2013-16641</v>
      </c>
      <c r="B30" s="3" t="s">
        <v>192</v>
      </c>
      <c r="C30" s="3">
        <v>1382823</v>
      </c>
      <c r="D30" s="3" t="s">
        <v>24</v>
      </c>
      <c r="E30" s="4" t="s">
        <v>193</v>
      </c>
      <c r="F30" t="s">
        <v>194</v>
      </c>
      <c r="G30">
        <v>0.9197012186050415</v>
      </c>
      <c r="H30" t="s">
        <v>195</v>
      </c>
      <c r="I30">
        <v>0.69110405445098877</v>
      </c>
      <c r="J30" t="s">
        <v>196</v>
      </c>
      <c r="K30" s="4">
        <v>0.66133666038513184</v>
      </c>
      <c r="L30" t="s">
        <v>197</v>
      </c>
      <c r="M30">
        <v>0.22331901000000001</v>
      </c>
      <c r="N30" t="s">
        <v>198</v>
      </c>
      <c r="O30">
        <v>0.13303143000000001</v>
      </c>
      <c r="P30" t="s">
        <v>42</v>
      </c>
      <c r="Q30" s="4">
        <v>9.7848119999999997E-2</v>
      </c>
      <c r="R30" t="s">
        <v>199</v>
      </c>
      <c r="S30">
        <v>0.14114684</v>
      </c>
      <c r="T30" t="s">
        <v>197</v>
      </c>
      <c r="U30">
        <v>0.13272676</v>
      </c>
      <c r="V30" t="s">
        <v>42</v>
      </c>
      <c r="W30">
        <v>0.12381386</v>
      </c>
    </row>
    <row r="31" spans="1:23" x14ac:dyDescent="0.25">
      <c r="A31" s="3" t="str">
        <f>HYPERLINK("http://ids.si.edu/ids/deliveryService?id=NMAH-ET2013-37399","NMAH-ET2013-37399")</f>
        <v>NMAH-ET2013-37399</v>
      </c>
      <c r="B31" s="3" t="s">
        <v>200</v>
      </c>
      <c r="C31" s="3">
        <v>446356</v>
      </c>
      <c r="D31" s="3" t="s">
        <v>24</v>
      </c>
      <c r="E31" s="4" t="s">
        <v>131</v>
      </c>
      <c r="F31" t="s">
        <v>101</v>
      </c>
      <c r="G31">
        <v>0.97429251670837402</v>
      </c>
      <c r="H31" t="s">
        <v>201</v>
      </c>
      <c r="I31">
        <v>0.94169121980667114</v>
      </c>
      <c r="J31" t="s">
        <v>103</v>
      </c>
      <c r="K31" s="4">
        <v>0.93303149938583374</v>
      </c>
      <c r="L31" t="s">
        <v>202</v>
      </c>
      <c r="M31">
        <v>0.36892772000000001</v>
      </c>
      <c r="N31" t="s">
        <v>203</v>
      </c>
      <c r="O31">
        <v>9.5108520000000002E-2</v>
      </c>
      <c r="P31" t="s">
        <v>106</v>
      </c>
      <c r="Q31" s="4">
        <v>5.6081020000000002E-2</v>
      </c>
      <c r="R31" t="s">
        <v>107</v>
      </c>
      <c r="S31">
        <v>5.7859975999999987E-2</v>
      </c>
      <c r="T31" t="s">
        <v>104</v>
      </c>
      <c r="U31">
        <v>5.5004205999999993E-2</v>
      </c>
      <c r="V31" t="s">
        <v>204</v>
      </c>
      <c r="W31">
        <v>4.0998180000000002E-2</v>
      </c>
    </row>
    <row r="32" spans="1:23" x14ac:dyDescent="0.25">
      <c r="A32" s="3" t="str">
        <f>HYPERLINK("http://ids.si.edu/ids/deliveryService?id=NMAH-AHB2016q015006","NMAH-AHB2016q015006")</f>
        <v>NMAH-AHB2016q015006</v>
      </c>
      <c r="B32" s="3" t="s">
        <v>205</v>
      </c>
      <c r="C32" s="3">
        <v>1591191</v>
      </c>
      <c r="D32" s="3" t="s">
        <v>24</v>
      </c>
      <c r="E32" s="4" t="s">
        <v>37</v>
      </c>
      <c r="F32" t="s">
        <v>206</v>
      </c>
      <c r="G32">
        <v>0.54842841625213623</v>
      </c>
      <c r="L32" t="s">
        <v>42</v>
      </c>
      <c r="M32">
        <v>0.60489499999999996</v>
      </c>
      <c r="N32" t="s">
        <v>43</v>
      </c>
      <c r="O32">
        <v>8.979094E-2</v>
      </c>
      <c r="P32" t="s">
        <v>44</v>
      </c>
      <c r="Q32" s="4">
        <v>7.1417380000000003E-2</v>
      </c>
      <c r="R32" t="s">
        <v>45</v>
      </c>
      <c r="S32">
        <v>0.274926</v>
      </c>
      <c r="T32" t="s">
        <v>42</v>
      </c>
      <c r="U32">
        <v>0.13896</v>
      </c>
      <c r="V32" t="s">
        <v>46</v>
      </c>
      <c r="W32">
        <v>9.9390870000000006E-2</v>
      </c>
    </row>
    <row r="33" spans="1:23" x14ac:dyDescent="0.25">
      <c r="A33" s="3" t="str">
        <f>HYPERLINK("http://ids.si.edu/ids/deliveryService?id=NMAH-AHB2014q019222","NMAH-AHB2014q019222")</f>
        <v>NMAH-AHB2014q019222</v>
      </c>
      <c r="B33" s="3" t="s">
        <v>207</v>
      </c>
      <c r="C33" s="3">
        <v>1452063</v>
      </c>
      <c r="D33" s="3" t="s">
        <v>24</v>
      </c>
      <c r="E33" s="4" t="s">
        <v>59</v>
      </c>
      <c r="F33" t="s">
        <v>61</v>
      </c>
      <c r="G33">
        <v>0.95236456394195557</v>
      </c>
      <c r="H33" t="s">
        <v>112</v>
      </c>
      <c r="I33">
        <v>0.86162483692169189</v>
      </c>
      <c r="J33" t="s">
        <v>208</v>
      </c>
      <c r="K33" s="4">
        <v>0.81165176630020142</v>
      </c>
      <c r="L33" t="s">
        <v>65</v>
      </c>
      <c r="M33">
        <v>0.18506255999999999</v>
      </c>
      <c r="N33" t="s">
        <v>66</v>
      </c>
      <c r="O33">
        <v>0.12037129000000001</v>
      </c>
      <c r="P33" t="s">
        <v>29</v>
      </c>
      <c r="Q33" s="4">
        <v>0.11968563</v>
      </c>
      <c r="R33" t="s">
        <v>66</v>
      </c>
      <c r="S33">
        <v>0.34419762999999998</v>
      </c>
      <c r="T33" t="s">
        <v>29</v>
      </c>
      <c r="U33">
        <v>0.20245974999999999</v>
      </c>
      <c r="V33" t="s">
        <v>209</v>
      </c>
      <c r="W33">
        <v>7.9116695000000001E-2</v>
      </c>
    </row>
    <row r="34" spans="1:23" x14ac:dyDescent="0.25">
      <c r="A34" s="3" t="str">
        <f>HYPERLINK("http://ids.si.edu/ids/deliveryService?id=NMAH-AHB2016q068281","NMAH-AHB2016q068281")</f>
        <v>NMAH-AHB2016q068281</v>
      </c>
      <c r="B34" s="3" t="s">
        <v>210</v>
      </c>
      <c r="C34" s="3">
        <v>1761418</v>
      </c>
      <c r="D34" s="3" t="s">
        <v>24</v>
      </c>
      <c r="E34" s="4" t="s">
        <v>211</v>
      </c>
      <c r="F34" t="s">
        <v>90</v>
      </c>
      <c r="G34">
        <v>0.61177396774291992</v>
      </c>
      <c r="H34" t="s">
        <v>50</v>
      </c>
      <c r="I34">
        <v>0.5114516019821167</v>
      </c>
      <c r="L34" t="s">
        <v>212</v>
      </c>
      <c r="M34">
        <v>0.5109572</v>
      </c>
      <c r="N34" t="s">
        <v>213</v>
      </c>
      <c r="O34">
        <v>8.0068514000000007E-2</v>
      </c>
      <c r="P34" t="s">
        <v>87</v>
      </c>
      <c r="Q34" s="4">
        <v>5.1494474999999998E-2</v>
      </c>
      <c r="R34" t="s">
        <v>214</v>
      </c>
      <c r="S34">
        <v>0.17486863</v>
      </c>
      <c r="T34" t="s">
        <v>141</v>
      </c>
      <c r="U34">
        <v>8.5403690000000004E-2</v>
      </c>
      <c r="V34" t="s">
        <v>215</v>
      </c>
      <c r="W34">
        <v>7.7096890000000001E-2</v>
      </c>
    </row>
    <row r="35" spans="1:23" x14ac:dyDescent="0.25">
      <c r="A35" s="3" t="str">
        <f>HYPERLINK("http://ids.si.edu/ids/deliveryService?id=NMAH-AHB2015q025617","NMAH-AHB2015q025617")</f>
        <v>NMAH-AHB2015q025617</v>
      </c>
      <c r="B35" s="3" t="s">
        <v>216</v>
      </c>
      <c r="C35" s="3">
        <v>1434449</v>
      </c>
      <c r="D35" s="3" t="s">
        <v>24</v>
      </c>
      <c r="E35" s="4" t="s">
        <v>217</v>
      </c>
      <c r="F35" t="s">
        <v>27</v>
      </c>
      <c r="G35">
        <v>0.99275350570678711</v>
      </c>
      <c r="H35" t="s">
        <v>26</v>
      </c>
      <c r="I35">
        <v>0.99189597368240356</v>
      </c>
      <c r="J35" t="s">
        <v>28</v>
      </c>
      <c r="K35" s="4">
        <v>0.96664202213287354</v>
      </c>
      <c r="L35" t="s">
        <v>34</v>
      </c>
      <c r="M35">
        <v>0.68306580000000006</v>
      </c>
      <c r="N35" t="s">
        <v>32</v>
      </c>
      <c r="O35">
        <v>0.20125982000000001</v>
      </c>
      <c r="P35" t="s">
        <v>33</v>
      </c>
      <c r="Q35" s="4">
        <v>0.105944574</v>
      </c>
      <c r="R35" t="s">
        <v>33</v>
      </c>
      <c r="S35">
        <v>0.76677346000000002</v>
      </c>
      <c r="T35" t="s">
        <v>34</v>
      </c>
      <c r="U35">
        <v>0.13734399999999999</v>
      </c>
      <c r="V35" t="s">
        <v>32</v>
      </c>
      <c r="W35">
        <v>7.3378559999999995E-2</v>
      </c>
    </row>
    <row r="36" spans="1:23" x14ac:dyDescent="0.25">
      <c r="A36" s="3" t="str">
        <f>HYPERLINK("http://ids.si.edu/ids/deliveryService?id=NMAH-AHB2015q011002","NMAH-AHB2015q011002")</f>
        <v>NMAH-AHB2015q011002</v>
      </c>
      <c r="B36" s="3" t="s">
        <v>218</v>
      </c>
      <c r="C36" s="3">
        <v>1693070</v>
      </c>
      <c r="D36" s="3" t="s">
        <v>24</v>
      </c>
      <c r="E36" s="4" t="s">
        <v>219</v>
      </c>
      <c r="F36" t="s">
        <v>61</v>
      </c>
      <c r="G36">
        <v>0.98368549346923828</v>
      </c>
      <c r="H36" t="s">
        <v>111</v>
      </c>
      <c r="I36">
        <v>0.9262126088142395</v>
      </c>
      <c r="J36" t="s">
        <v>220</v>
      </c>
      <c r="K36" s="4">
        <v>0.90078020095825195</v>
      </c>
      <c r="L36" t="s">
        <v>222</v>
      </c>
      <c r="M36">
        <v>0.2583761</v>
      </c>
      <c r="N36" t="s">
        <v>77</v>
      </c>
      <c r="O36">
        <v>9.4429680000000002E-2</v>
      </c>
      <c r="P36" t="s">
        <v>209</v>
      </c>
      <c r="Q36" s="4">
        <v>7.2964490000000007E-2</v>
      </c>
      <c r="R36" t="s">
        <v>77</v>
      </c>
      <c r="S36">
        <v>0.61629754000000003</v>
      </c>
      <c r="T36" t="s">
        <v>66</v>
      </c>
      <c r="U36">
        <v>0.12250995000000001</v>
      </c>
      <c r="V36" t="s">
        <v>152</v>
      </c>
      <c r="W36">
        <v>5.8656819999999998E-2</v>
      </c>
    </row>
    <row r="37" spans="1:23" x14ac:dyDescent="0.25">
      <c r="A37" s="3" t="str">
        <f>HYPERLINK("http://ids.si.edu/ids/deliveryService?id=NMAH-AHB2017q064288","NMAH-AHB2017q064288")</f>
        <v>NMAH-AHB2017q064288</v>
      </c>
      <c r="B37" s="3" t="s">
        <v>223</v>
      </c>
      <c r="C37" s="3">
        <v>1824756</v>
      </c>
      <c r="D37" s="3" t="s">
        <v>24</v>
      </c>
      <c r="E37" s="4" t="s">
        <v>224</v>
      </c>
      <c r="L37" t="s">
        <v>148</v>
      </c>
      <c r="M37">
        <v>0.22259076</v>
      </c>
      <c r="N37" t="s">
        <v>225</v>
      </c>
      <c r="O37">
        <v>0.22189344</v>
      </c>
      <c r="P37" t="s">
        <v>184</v>
      </c>
      <c r="Q37" s="4">
        <v>0.14548868000000001</v>
      </c>
      <c r="R37" t="s">
        <v>148</v>
      </c>
      <c r="S37">
        <v>0.36583468000000002</v>
      </c>
      <c r="T37" t="s">
        <v>226</v>
      </c>
      <c r="U37">
        <v>9.9247719999999998E-2</v>
      </c>
      <c r="V37" t="s">
        <v>79</v>
      </c>
      <c r="W37">
        <v>7.1506589999999995E-2</v>
      </c>
    </row>
    <row r="38" spans="1:23" x14ac:dyDescent="0.25">
      <c r="A38" s="3" t="str">
        <f>HYPERLINK("http://ids.si.edu/ids/deliveryService?id=NMAH-AHB2016q070940","NMAH-AHB2016q070940")</f>
        <v>NMAH-AHB2016q070940</v>
      </c>
      <c r="B38" s="3" t="s">
        <v>227</v>
      </c>
      <c r="C38" s="3">
        <v>1820405</v>
      </c>
      <c r="D38" s="3" t="s">
        <v>24</v>
      </c>
      <c r="E38" s="4" t="s">
        <v>228</v>
      </c>
      <c r="F38" t="s">
        <v>229</v>
      </c>
      <c r="G38">
        <v>0.69083797931671143</v>
      </c>
      <c r="H38" t="s">
        <v>90</v>
      </c>
      <c r="I38">
        <v>0.61177396774291992</v>
      </c>
      <c r="J38" t="s">
        <v>230</v>
      </c>
      <c r="K38" s="4">
        <v>0.58882921934127808</v>
      </c>
      <c r="L38" t="s">
        <v>231</v>
      </c>
      <c r="M38">
        <v>0.2464035</v>
      </c>
      <c r="N38" t="s">
        <v>45</v>
      </c>
      <c r="O38">
        <v>0.22045461999999999</v>
      </c>
      <c r="P38" t="s">
        <v>151</v>
      </c>
      <c r="Q38" s="4">
        <v>6.8866126E-2</v>
      </c>
      <c r="R38" t="s">
        <v>232</v>
      </c>
      <c r="S38">
        <v>0.12571219</v>
      </c>
      <c r="T38" t="s">
        <v>233</v>
      </c>
      <c r="U38">
        <v>5.8064980000000002E-2</v>
      </c>
      <c r="V38" t="s">
        <v>82</v>
      </c>
      <c r="W38">
        <v>5.1913454999999997E-2</v>
      </c>
    </row>
    <row r="39" spans="1:23" x14ac:dyDescent="0.25">
      <c r="A39" s="3" t="str">
        <f>HYPERLINK("http://ids.si.edu/ids/deliveryService?id=NMAH-ET2013-16545","NMAH-ET2013-16545")</f>
        <v>NMAH-ET2013-16545</v>
      </c>
      <c r="B39" s="3" t="s">
        <v>234</v>
      </c>
      <c r="C39" s="3">
        <v>1301369</v>
      </c>
      <c r="D39" s="3" t="s">
        <v>24</v>
      </c>
      <c r="E39" s="4" t="s">
        <v>235</v>
      </c>
      <c r="F39" t="s">
        <v>236</v>
      </c>
      <c r="G39">
        <v>0.75916659832000732</v>
      </c>
      <c r="H39" t="s">
        <v>237</v>
      </c>
      <c r="I39">
        <v>0.74986940622329712</v>
      </c>
      <c r="J39" t="s">
        <v>238</v>
      </c>
      <c r="K39" s="4">
        <v>0.68692183494567871</v>
      </c>
      <c r="L39" t="s">
        <v>239</v>
      </c>
      <c r="M39">
        <v>0.38770166</v>
      </c>
      <c r="N39" t="s">
        <v>203</v>
      </c>
      <c r="O39">
        <v>0.36161554000000001</v>
      </c>
      <c r="P39" t="s">
        <v>240</v>
      </c>
      <c r="Q39" s="4">
        <v>6.5522869999999997E-2</v>
      </c>
      <c r="R39" t="s">
        <v>241</v>
      </c>
      <c r="S39">
        <v>0.30797996999999999</v>
      </c>
      <c r="T39" t="s">
        <v>203</v>
      </c>
      <c r="U39">
        <v>6.6991800000000004E-2</v>
      </c>
      <c r="V39" t="s">
        <v>242</v>
      </c>
      <c r="W39">
        <v>3.3873066E-2</v>
      </c>
    </row>
    <row r="40" spans="1:23" x14ac:dyDescent="0.25">
      <c r="A40" s="3" t="str">
        <f>HYPERLINK("http://ids.si.edu/ids/deliveryService?id=NMAH-AHB2014q020404","NMAH-AHB2014q020404")</f>
        <v>NMAH-AHB2014q020404</v>
      </c>
      <c r="B40" s="3" t="s">
        <v>243</v>
      </c>
      <c r="C40" s="3">
        <v>1452037</v>
      </c>
      <c r="D40" s="3" t="s">
        <v>24</v>
      </c>
      <c r="E40" s="4" t="s">
        <v>59</v>
      </c>
      <c r="F40" t="s">
        <v>61</v>
      </c>
      <c r="G40">
        <v>0.92437785863876343</v>
      </c>
      <c r="H40" t="s">
        <v>238</v>
      </c>
      <c r="I40">
        <v>0.77836799621582031</v>
      </c>
      <c r="J40" t="s">
        <v>143</v>
      </c>
      <c r="K40" s="4">
        <v>0.77257794141769409</v>
      </c>
      <c r="L40" t="s">
        <v>29</v>
      </c>
      <c r="M40">
        <v>0.35861227000000001</v>
      </c>
      <c r="N40" t="s">
        <v>65</v>
      </c>
      <c r="O40">
        <v>4.3618869999999997E-2</v>
      </c>
      <c r="P40" t="s">
        <v>209</v>
      </c>
      <c r="Q40" s="4">
        <v>2.6779773E-2</v>
      </c>
      <c r="R40" t="s">
        <v>29</v>
      </c>
      <c r="S40">
        <v>0.45931446999999997</v>
      </c>
      <c r="T40" t="s">
        <v>66</v>
      </c>
      <c r="U40">
        <v>8.3625679999999994E-2</v>
      </c>
      <c r="V40" t="s">
        <v>65</v>
      </c>
      <c r="W40">
        <v>4.5891426999999999E-2</v>
      </c>
    </row>
    <row r="41" spans="1:23" x14ac:dyDescent="0.25">
      <c r="A41" s="3" t="str">
        <f>HYPERLINK("http://ids.si.edu/ids/deliveryService?id=NMAH-ET2011-43806-000001","NMAH-ET2011-43806-000001")</f>
        <v>NMAH-ET2011-43806-000001</v>
      </c>
      <c r="B41" s="3" t="s">
        <v>244</v>
      </c>
      <c r="C41" s="3">
        <v>420631</v>
      </c>
      <c r="D41" s="3" t="s">
        <v>24</v>
      </c>
      <c r="E41" s="4" t="s">
        <v>137</v>
      </c>
      <c r="F41" t="s">
        <v>138</v>
      </c>
      <c r="G41">
        <v>0.94808113574981689</v>
      </c>
      <c r="H41" t="s">
        <v>91</v>
      </c>
      <c r="I41">
        <v>0.91031128168106079</v>
      </c>
      <c r="J41" t="s">
        <v>139</v>
      </c>
      <c r="K41" s="4">
        <v>0.89485132694244385</v>
      </c>
      <c r="L41" t="s">
        <v>87</v>
      </c>
      <c r="M41">
        <v>0.66968269999999996</v>
      </c>
      <c r="N41" t="s">
        <v>83</v>
      </c>
      <c r="O41">
        <v>0.10512719</v>
      </c>
      <c r="P41" t="s">
        <v>247</v>
      </c>
      <c r="Q41" s="4">
        <v>3.0847678E-2</v>
      </c>
      <c r="R41" t="s">
        <v>87</v>
      </c>
      <c r="S41">
        <v>0.65151000000000003</v>
      </c>
      <c r="T41" t="s">
        <v>248</v>
      </c>
      <c r="U41">
        <v>8.0566100000000002E-2</v>
      </c>
      <c r="V41" t="s">
        <v>83</v>
      </c>
      <c r="W41">
        <v>6.3318470000000002E-2</v>
      </c>
    </row>
    <row r="42" spans="1:23" x14ac:dyDescent="0.25">
      <c r="A42" s="3" t="str">
        <f>HYPERLINK("http://ids.si.edu/ids/deliveryService?id=NMAH-ET2011-43836-000001","NMAH-ET2011-43836-000001")</f>
        <v>NMAH-ET2011-43836-000001</v>
      </c>
      <c r="B42" s="3" t="s">
        <v>249</v>
      </c>
      <c r="C42" s="3">
        <v>420461</v>
      </c>
      <c r="D42" s="3" t="s">
        <v>24</v>
      </c>
      <c r="E42" s="4" t="s">
        <v>137</v>
      </c>
      <c r="F42" t="s">
        <v>138</v>
      </c>
      <c r="G42">
        <v>0.95956432819366455</v>
      </c>
      <c r="H42" t="s">
        <v>139</v>
      </c>
      <c r="I42">
        <v>0.94096797704696655</v>
      </c>
      <c r="J42" t="s">
        <v>91</v>
      </c>
      <c r="K42" s="4">
        <v>0.91031128168106079</v>
      </c>
      <c r="L42" t="s">
        <v>87</v>
      </c>
      <c r="M42">
        <v>0.77450459999999999</v>
      </c>
      <c r="N42" t="s">
        <v>83</v>
      </c>
      <c r="O42">
        <v>0.18263960000000001</v>
      </c>
      <c r="P42" t="s">
        <v>247</v>
      </c>
      <c r="Q42" s="4">
        <v>6.7743933999999994E-3</v>
      </c>
      <c r="R42" t="s">
        <v>248</v>
      </c>
      <c r="S42">
        <v>0.52450954999999999</v>
      </c>
      <c r="T42" t="s">
        <v>247</v>
      </c>
      <c r="U42">
        <v>0.10713333999999999</v>
      </c>
      <c r="V42" t="s">
        <v>87</v>
      </c>
      <c r="W42">
        <v>9.5730309999999999E-2</v>
      </c>
    </row>
    <row r="43" spans="1:23" x14ac:dyDescent="0.25">
      <c r="A43" s="3" t="str">
        <f>HYPERLINK("http://ids.si.edu/ids/deliveryService?id=NMAH-ET2012-14639-000002","NMAH-ET2012-14639-000002")</f>
        <v>NMAH-ET2012-14639-000002</v>
      </c>
      <c r="B43" s="3" t="s">
        <v>250</v>
      </c>
      <c r="C43" s="3">
        <v>443357</v>
      </c>
      <c r="D43" s="3" t="s">
        <v>24</v>
      </c>
      <c r="E43" s="4" t="s">
        <v>125</v>
      </c>
      <c r="F43" t="s">
        <v>112</v>
      </c>
      <c r="G43">
        <v>0.93166458606719971</v>
      </c>
      <c r="H43" t="s">
        <v>126</v>
      </c>
      <c r="I43">
        <v>0.92960560321807861</v>
      </c>
      <c r="J43" t="s">
        <v>61</v>
      </c>
      <c r="K43" s="4">
        <v>0.89724308252334595</v>
      </c>
      <c r="L43" t="s">
        <v>65</v>
      </c>
      <c r="M43">
        <v>0.19741629999999999</v>
      </c>
      <c r="N43" t="s">
        <v>253</v>
      </c>
      <c r="O43">
        <v>0.12121324</v>
      </c>
      <c r="P43" t="s">
        <v>129</v>
      </c>
      <c r="Q43" s="4">
        <v>6.9826750000000007E-2</v>
      </c>
      <c r="R43" t="s">
        <v>253</v>
      </c>
      <c r="S43">
        <v>0.36367315</v>
      </c>
      <c r="T43" t="s">
        <v>65</v>
      </c>
      <c r="U43">
        <v>3.3949939999999998E-2</v>
      </c>
      <c r="V43" t="s">
        <v>148</v>
      </c>
      <c r="W43">
        <v>3.0532152999999999E-2</v>
      </c>
    </row>
    <row r="44" spans="1:23" x14ac:dyDescent="0.25">
      <c r="A44" s="3" t="str">
        <f>HYPERLINK("http://ids.si.edu/ids/deliveryService?id=NMAH-AHB2016q066739","NMAH-AHB2016q066739")</f>
        <v>NMAH-AHB2016q066739</v>
      </c>
      <c r="B44" s="3" t="s">
        <v>254</v>
      </c>
      <c r="C44" s="3">
        <v>1815835</v>
      </c>
      <c r="D44" s="3" t="s">
        <v>24</v>
      </c>
      <c r="E44" s="4" t="s">
        <v>255</v>
      </c>
      <c r="F44" t="s">
        <v>256</v>
      </c>
      <c r="G44">
        <v>0.77267205715179443</v>
      </c>
      <c r="H44" t="s">
        <v>206</v>
      </c>
      <c r="I44">
        <v>0.66557526588439941</v>
      </c>
      <c r="J44" t="s">
        <v>257</v>
      </c>
      <c r="K44" s="4">
        <v>0.647297203540802</v>
      </c>
      <c r="L44" t="s">
        <v>259</v>
      </c>
      <c r="M44">
        <v>0.72812562999999997</v>
      </c>
      <c r="N44" t="s">
        <v>260</v>
      </c>
      <c r="O44">
        <v>2.6897328000000002E-2</v>
      </c>
      <c r="P44" t="s">
        <v>148</v>
      </c>
      <c r="Q44" s="4">
        <v>1.3486166500000001E-2</v>
      </c>
      <c r="R44" t="s">
        <v>260</v>
      </c>
      <c r="S44">
        <v>0.19332774</v>
      </c>
      <c r="T44" t="s">
        <v>261</v>
      </c>
      <c r="U44">
        <v>8.8927489999999998E-2</v>
      </c>
      <c r="V44" t="s">
        <v>259</v>
      </c>
      <c r="W44">
        <v>6.4691440000000003E-2</v>
      </c>
    </row>
    <row r="45" spans="1:23" x14ac:dyDescent="0.25">
      <c r="A45" s="3" t="str">
        <f>HYPERLINK("http://ids.si.edu/ids/deliveryService?id=NMAH-AHB2017ps00035","NMAH-AHB2017ps00035")</f>
        <v>NMAH-AHB2017ps00035</v>
      </c>
      <c r="B45" s="3" t="s">
        <v>262</v>
      </c>
      <c r="C45" s="3">
        <v>447409</v>
      </c>
      <c r="D45" s="3" t="s">
        <v>24</v>
      </c>
      <c r="E45" s="4" t="s">
        <v>263</v>
      </c>
      <c r="F45" t="s">
        <v>264</v>
      </c>
      <c r="G45">
        <v>0.97356116771697998</v>
      </c>
      <c r="H45" t="s">
        <v>62</v>
      </c>
      <c r="I45">
        <v>0.85213285684585571</v>
      </c>
      <c r="J45" t="s">
        <v>265</v>
      </c>
      <c r="K45" s="4">
        <v>0.67417448759078979</v>
      </c>
      <c r="L45" t="s">
        <v>65</v>
      </c>
      <c r="M45">
        <v>0.53668369999999999</v>
      </c>
      <c r="N45" t="s">
        <v>29</v>
      </c>
      <c r="O45">
        <v>7.9225719999999999E-2</v>
      </c>
      <c r="P45" t="s">
        <v>129</v>
      </c>
      <c r="Q45" s="4">
        <v>2.3437612E-2</v>
      </c>
      <c r="R45" t="s">
        <v>65</v>
      </c>
      <c r="S45">
        <v>0.31164219999999998</v>
      </c>
      <c r="T45" t="s">
        <v>266</v>
      </c>
      <c r="U45">
        <v>8.7331309999999995E-2</v>
      </c>
      <c r="V45" t="s">
        <v>29</v>
      </c>
      <c r="W45">
        <v>5.4032980000000001E-2</v>
      </c>
    </row>
    <row r="46" spans="1:23" x14ac:dyDescent="0.25">
      <c r="A46" s="3" t="str">
        <f>HYPERLINK("http://ids.si.edu/ids/deliveryService?id=NMAH-ET2013-16640","NMAH-ET2013-16640")</f>
        <v>NMAH-ET2013-16640</v>
      </c>
      <c r="B46" s="3" t="s">
        <v>267</v>
      </c>
      <c r="C46" s="3">
        <v>1366950</v>
      </c>
      <c r="D46" s="3" t="s">
        <v>24</v>
      </c>
      <c r="E46" s="4" t="s">
        <v>193</v>
      </c>
      <c r="F46" t="s">
        <v>194</v>
      </c>
      <c r="G46">
        <v>0.90052992105484009</v>
      </c>
      <c r="H46" t="s">
        <v>196</v>
      </c>
      <c r="I46">
        <v>0.88979196548461914</v>
      </c>
      <c r="J46" t="s">
        <v>112</v>
      </c>
      <c r="K46" s="4">
        <v>0.80401664972305298</v>
      </c>
      <c r="L46" t="s">
        <v>209</v>
      </c>
      <c r="M46">
        <v>0.13016011</v>
      </c>
      <c r="N46" t="s">
        <v>226</v>
      </c>
      <c r="O46">
        <v>7.9821820000000002E-2</v>
      </c>
      <c r="P46" t="s">
        <v>104</v>
      </c>
      <c r="Q46" s="4">
        <v>6.259224599999999E-2</v>
      </c>
      <c r="R46" t="s">
        <v>209</v>
      </c>
      <c r="S46">
        <v>0.16662416999999999</v>
      </c>
      <c r="T46" t="s">
        <v>226</v>
      </c>
      <c r="U46">
        <v>0.11628337</v>
      </c>
      <c r="V46" t="s">
        <v>185</v>
      </c>
      <c r="W46">
        <v>5.6447659999999997E-2</v>
      </c>
    </row>
    <row r="47" spans="1:23" x14ac:dyDescent="0.25">
      <c r="A47" s="3" t="str">
        <f>HYPERLINK("http://ids.si.edu/ids/deliveryService?id=NMAH-ET2017-09288-000001","NMAH-ET2017-09288-000001")</f>
        <v>NMAH-ET2017-09288-000001</v>
      </c>
      <c r="B47" s="3" t="s">
        <v>268</v>
      </c>
      <c r="C47" s="3">
        <v>1001005</v>
      </c>
      <c r="D47" s="3" t="s">
        <v>24</v>
      </c>
      <c r="E47" s="4" t="s">
        <v>269</v>
      </c>
      <c r="F47" t="s">
        <v>270</v>
      </c>
      <c r="G47">
        <v>0.97084546089172363</v>
      </c>
      <c r="H47" t="s">
        <v>271</v>
      </c>
      <c r="I47">
        <v>0.93717741966247559</v>
      </c>
      <c r="J47" t="s">
        <v>272</v>
      </c>
      <c r="K47" s="4">
        <v>0.90887254476547241</v>
      </c>
      <c r="L47" t="s">
        <v>273</v>
      </c>
      <c r="M47">
        <v>0.57591219999999999</v>
      </c>
      <c r="N47" t="s">
        <v>274</v>
      </c>
      <c r="O47">
        <v>7.678045E-2</v>
      </c>
      <c r="P47" t="s">
        <v>275</v>
      </c>
      <c r="Q47" s="4">
        <v>4.6025652E-2</v>
      </c>
      <c r="R47" t="s">
        <v>276</v>
      </c>
      <c r="S47">
        <v>0.15309739</v>
      </c>
      <c r="T47" t="s">
        <v>159</v>
      </c>
      <c r="U47">
        <v>4.9692355000000001E-2</v>
      </c>
      <c r="V47" t="s">
        <v>277</v>
      </c>
      <c r="W47">
        <v>3.5648935E-2</v>
      </c>
    </row>
    <row r="48" spans="1:23" x14ac:dyDescent="0.25">
      <c r="A48" s="3" t="str">
        <f>HYPERLINK("http://ids.si.edu/ids/deliveryService?id=NMAH-AHB2017q066185","NMAH-AHB2017q066185")</f>
        <v>NMAH-AHB2017q066185</v>
      </c>
      <c r="B48" s="3" t="s">
        <v>278</v>
      </c>
      <c r="C48" s="3">
        <v>1826059</v>
      </c>
      <c r="D48" s="3" t="s">
        <v>24</v>
      </c>
      <c r="E48" s="4" t="s">
        <v>279</v>
      </c>
      <c r="F48" t="s">
        <v>280</v>
      </c>
      <c r="G48">
        <v>0.6496577262878418</v>
      </c>
      <c r="H48" t="s">
        <v>281</v>
      </c>
      <c r="I48">
        <v>0.54377305507659912</v>
      </c>
      <c r="L48" t="s">
        <v>282</v>
      </c>
      <c r="M48">
        <v>0.59498625999999999</v>
      </c>
      <c r="N48" t="s">
        <v>283</v>
      </c>
      <c r="O48">
        <v>0.14668113999999999</v>
      </c>
      <c r="P48" t="s">
        <v>284</v>
      </c>
      <c r="Q48" s="4">
        <v>0.13785136000000001</v>
      </c>
      <c r="R48" t="s">
        <v>148</v>
      </c>
      <c r="S48">
        <v>0.78008859999999991</v>
      </c>
      <c r="T48" t="s">
        <v>283</v>
      </c>
      <c r="U48">
        <v>0.15211229000000001</v>
      </c>
      <c r="V48" t="s">
        <v>282</v>
      </c>
      <c r="W48">
        <v>5.5550624000000007E-2</v>
      </c>
    </row>
    <row r="49" spans="1:23" x14ac:dyDescent="0.25">
      <c r="A49" s="3" t="str">
        <f>HYPERLINK("http://ids.si.edu/ids/deliveryService?id=SIA-84-10137","SIA-84-10137")</f>
        <v>SIA-84-10137</v>
      </c>
      <c r="B49" s="3" t="s">
        <v>285</v>
      </c>
      <c r="C49" s="3">
        <v>416634</v>
      </c>
      <c r="D49" s="3" t="s">
        <v>24</v>
      </c>
      <c r="E49" s="4" t="s">
        <v>286</v>
      </c>
      <c r="F49" t="s">
        <v>27</v>
      </c>
      <c r="G49">
        <v>0.99275350570678711</v>
      </c>
      <c r="H49" t="s">
        <v>26</v>
      </c>
      <c r="I49">
        <v>0.99235647916793823</v>
      </c>
      <c r="J49" t="s">
        <v>28</v>
      </c>
      <c r="K49" s="4">
        <v>0.98466277122497559</v>
      </c>
      <c r="L49" t="s">
        <v>33</v>
      </c>
      <c r="M49">
        <v>0.47815758000000003</v>
      </c>
      <c r="N49" t="s">
        <v>34</v>
      </c>
      <c r="O49">
        <v>0.30884895000000001</v>
      </c>
      <c r="P49" t="s">
        <v>32</v>
      </c>
      <c r="Q49" s="4">
        <v>0.19663282000000001</v>
      </c>
      <c r="R49" t="s">
        <v>34</v>
      </c>
      <c r="S49">
        <v>0.55828529999999998</v>
      </c>
      <c r="T49" t="s">
        <v>32</v>
      </c>
      <c r="U49">
        <v>0.33762720000000002</v>
      </c>
      <c r="V49" t="s">
        <v>33</v>
      </c>
      <c r="W49">
        <v>8.0811969999999997E-2</v>
      </c>
    </row>
    <row r="50" spans="1:23" x14ac:dyDescent="0.25">
      <c r="A50" s="3" t="str">
        <f>HYPERLINK("http://ids.si.edu/ids/deliveryService?id=NMAH-ET2012-13914","NMAH-ET2012-13914")</f>
        <v>NMAH-ET2012-13914</v>
      </c>
      <c r="B50" s="3" t="s">
        <v>287</v>
      </c>
      <c r="C50" s="3">
        <v>414577</v>
      </c>
      <c r="D50" s="3" t="s">
        <v>24</v>
      </c>
      <c r="E50" s="4" t="s">
        <v>116</v>
      </c>
      <c r="F50" t="s">
        <v>26</v>
      </c>
      <c r="G50">
        <v>0.95422482490539551</v>
      </c>
      <c r="H50" t="s">
        <v>56</v>
      </c>
      <c r="I50">
        <v>0.81514483690261841</v>
      </c>
      <c r="J50" t="s">
        <v>27</v>
      </c>
      <c r="K50" s="4">
        <v>0.75870412588119507</v>
      </c>
      <c r="L50" t="s">
        <v>83</v>
      </c>
      <c r="M50">
        <v>0.27339565999999998</v>
      </c>
      <c r="N50" t="s">
        <v>84</v>
      </c>
      <c r="O50">
        <v>0.16054362</v>
      </c>
      <c r="P50" t="s">
        <v>87</v>
      </c>
      <c r="Q50" s="4">
        <v>0.111124</v>
      </c>
      <c r="R50" t="s">
        <v>82</v>
      </c>
      <c r="S50">
        <v>0.25514892</v>
      </c>
      <c r="T50" t="s">
        <v>83</v>
      </c>
      <c r="U50">
        <v>0.12936151000000001</v>
      </c>
      <c r="V50" t="s">
        <v>141</v>
      </c>
      <c r="W50">
        <v>8.9384359999999996E-2</v>
      </c>
    </row>
    <row r="51" spans="1:23" x14ac:dyDescent="0.25">
      <c r="A51" s="3" t="str">
        <f>HYPERLINK("http://ids.si.edu/ids/deliveryService?id=NMAH-ET2010-28565-000003","NMAH-ET2010-28565-000003")</f>
        <v>NMAH-ET2010-28565-000003</v>
      </c>
      <c r="B51" s="3" t="s">
        <v>288</v>
      </c>
      <c r="C51" s="3">
        <v>438532</v>
      </c>
      <c r="D51" s="3" t="s">
        <v>24</v>
      </c>
      <c r="E51" s="4" t="s">
        <v>25</v>
      </c>
      <c r="F51" t="s">
        <v>26</v>
      </c>
      <c r="G51">
        <v>0.99127054214477539</v>
      </c>
      <c r="H51" t="s">
        <v>27</v>
      </c>
      <c r="I51">
        <v>0.97932916879653931</v>
      </c>
      <c r="J51" t="s">
        <v>28</v>
      </c>
      <c r="K51" s="4">
        <v>0.9776187539100647</v>
      </c>
      <c r="L51" t="s">
        <v>32</v>
      </c>
      <c r="M51">
        <v>0.56577230000000012</v>
      </c>
      <c r="N51" t="s">
        <v>33</v>
      </c>
      <c r="O51">
        <v>0.41304299999999999</v>
      </c>
      <c r="P51" t="s">
        <v>34</v>
      </c>
      <c r="Q51" s="4">
        <v>7.4054417000000003E-3</v>
      </c>
      <c r="R51" t="s">
        <v>87</v>
      </c>
      <c r="S51">
        <v>0.18415424</v>
      </c>
      <c r="T51" t="s">
        <v>32</v>
      </c>
      <c r="U51">
        <v>0.14902872</v>
      </c>
      <c r="V51" t="s">
        <v>214</v>
      </c>
      <c r="W51">
        <v>9.1739975000000001E-2</v>
      </c>
    </row>
    <row r="52" spans="1:23" x14ac:dyDescent="0.25">
      <c r="A52" s="3" t="str">
        <f>HYPERLINK("http://ids.si.edu/ids/deliveryService?id=NMAH-AHB2014q020408","NMAH-AHB2014q020408")</f>
        <v>NMAH-AHB2014q020408</v>
      </c>
      <c r="B52" s="3" t="s">
        <v>289</v>
      </c>
      <c r="C52" s="3">
        <v>1452035</v>
      </c>
      <c r="D52" s="3" t="s">
        <v>24</v>
      </c>
      <c r="E52" s="4" t="s">
        <v>59</v>
      </c>
      <c r="F52" t="s">
        <v>61</v>
      </c>
      <c r="G52">
        <v>0.93841838836669922</v>
      </c>
      <c r="H52" t="s">
        <v>112</v>
      </c>
      <c r="I52">
        <v>0.81951183080673218</v>
      </c>
      <c r="J52" t="s">
        <v>143</v>
      </c>
      <c r="K52" s="4">
        <v>0.7408301830291748</v>
      </c>
      <c r="L52" t="s">
        <v>29</v>
      </c>
      <c r="M52">
        <v>0.50338720000000003</v>
      </c>
      <c r="N52" t="s">
        <v>66</v>
      </c>
      <c r="O52">
        <v>4.1820212999999988E-2</v>
      </c>
      <c r="P52" t="s">
        <v>65</v>
      </c>
      <c r="Q52" s="4">
        <v>4.0697270000000001E-2</v>
      </c>
      <c r="R52" t="s">
        <v>29</v>
      </c>
      <c r="S52">
        <v>0.74093529999999996</v>
      </c>
      <c r="T52" t="s">
        <v>66</v>
      </c>
      <c r="U52">
        <v>2.4531318E-2</v>
      </c>
      <c r="V52" t="s">
        <v>67</v>
      </c>
      <c r="W52">
        <v>1.573577E-2</v>
      </c>
    </row>
    <row r="53" spans="1:23" x14ac:dyDescent="0.25">
      <c r="A53" s="3" t="str">
        <f>HYPERLINK("http://ids.si.edu/ids/deliveryService?id=NMAH-ET2013-16042-000002","NMAH-ET2013-16042-000002")</f>
        <v>NMAH-ET2013-16042-000002</v>
      </c>
      <c r="B53" s="3" t="s">
        <v>290</v>
      </c>
      <c r="C53" s="3">
        <v>1213655</v>
      </c>
      <c r="D53" s="3" t="s">
        <v>24</v>
      </c>
      <c r="E53" s="4" t="s">
        <v>291</v>
      </c>
      <c r="F53" t="s">
        <v>292</v>
      </c>
      <c r="G53">
        <v>0.96130752563476563</v>
      </c>
      <c r="H53" t="s">
        <v>39</v>
      </c>
      <c r="I53">
        <v>0.76971888542175293</v>
      </c>
      <c r="J53" t="s">
        <v>293</v>
      </c>
      <c r="K53" s="4">
        <v>0.71038269996643066</v>
      </c>
      <c r="L53" t="s">
        <v>42</v>
      </c>
      <c r="M53">
        <v>0.55565350000000002</v>
      </c>
      <c r="N53" t="s">
        <v>198</v>
      </c>
      <c r="O53">
        <v>0.16813280999999999</v>
      </c>
      <c r="P53" t="s">
        <v>134</v>
      </c>
      <c r="Q53" s="4">
        <v>3.6718555E-2</v>
      </c>
      <c r="R53" t="s">
        <v>134</v>
      </c>
      <c r="S53">
        <v>0.38691377999999998</v>
      </c>
      <c r="T53" t="s">
        <v>294</v>
      </c>
      <c r="U53">
        <v>6.3778429999999997E-2</v>
      </c>
      <c r="V53" t="s">
        <v>108</v>
      </c>
      <c r="W53">
        <v>6.0868079999999998E-2</v>
      </c>
    </row>
    <row r="54" spans="1:23" x14ac:dyDescent="0.25">
      <c r="A54" s="3" t="str">
        <f>HYPERLINK("http://ids.si.edu/ids/deliveryService?id=NMAH-ET2017-00629-000001","NMAH-ET2017-00629-000001")</f>
        <v>NMAH-ET2017-00629-000001</v>
      </c>
      <c r="B54" s="3" t="s">
        <v>295</v>
      </c>
      <c r="C54" s="3">
        <v>1591223</v>
      </c>
      <c r="D54" s="3" t="s">
        <v>24</v>
      </c>
      <c r="E54" s="4" t="s">
        <v>296</v>
      </c>
      <c r="F54" t="s">
        <v>297</v>
      </c>
      <c r="G54">
        <v>0.79772675037384033</v>
      </c>
      <c r="L54" t="s">
        <v>66</v>
      </c>
      <c r="M54">
        <v>0.49662374999999997</v>
      </c>
      <c r="N54" t="s">
        <v>42</v>
      </c>
      <c r="O54">
        <v>0.39406249999999998</v>
      </c>
      <c r="P54" t="s">
        <v>209</v>
      </c>
      <c r="Q54" s="4">
        <v>3.6977406999999997E-2</v>
      </c>
      <c r="R54" t="s">
        <v>209</v>
      </c>
      <c r="S54">
        <v>0.25677577000000001</v>
      </c>
      <c r="T54" t="s">
        <v>226</v>
      </c>
      <c r="U54">
        <v>0.20968643000000001</v>
      </c>
      <c r="V54" t="s">
        <v>66</v>
      </c>
      <c r="W54">
        <v>0.2041983</v>
      </c>
    </row>
    <row r="55" spans="1:23" x14ac:dyDescent="0.25">
      <c r="A55" s="3" t="str">
        <f>HYPERLINK("http://ids.si.edu/ids/deliveryService?id=NMAH-ET2011-09564-000001","NMAH-ET2011-09564-000001")</f>
        <v>NMAH-ET2011-09564-000001</v>
      </c>
      <c r="B55" s="3" t="s">
        <v>298</v>
      </c>
      <c r="C55" s="3">
        <v>438747</v>
      </c>
      <c r="D55" s="3" t="s">
        <v>24</v>
      </c>
      <c r="E55" s="4" t="s">
        <v>299</v>
      </c>
      <c r="F55" t="s">
        <v>300</v>
      </c>
      <c r="G55">
        <v>0.85935956239700317</v>
      </c>
      <c r="H55" t="s">
        <v>301</v>
      </c>
      <c r="I55">
        <v>0.51647579669952393</v>
      </c>
      <c r="J55" t="s">
        <v>50</v>
      </c>
      <c r="K55" s="4">
        <v>0.5114516019821167</v>
      </c>
      <c r="L55" t="s">
        <v>213</v>
      </c>
      <c r="M55">
        <v>0.11635324</v>
      </c>
      <c r="N55" t="s">
        <v>302</v>
      </c>
      <c r="O55">
        <v>7.8892309999999993E-2</v>
      </c>
      <c r="P55" t="s">
        <v>303</v>
      </c>
      <c r="Q55" s="4">
        <v>6.6833824E-2</v>
      </c>
      <c r="R55" t="s">
        <v>304</v>
      </c>
      <c r="S55">
        <v>9.3504539999999997E-2</v>
      </c>
      <c r="T55" t="s">
        <v>303</v>
      </c>
      <c r="U55">
        <v>5.6063067000000001E-2</v>
      </c>
      <c r="V55" t="s">
        <v>305</v>
      </c>
      <c r="W55">
        <v>5.3727306000000002E-2</v>
      </c>
    </row>
    <row r="56" spans="1:23" x14ac:dyDescent="0.25">
      <c r="A56" s="3" t="str">
        <f>HYPERLINK("http://ids.si.edu/ids/deliveryService?id=NMAH-AHB2014q019202","NMAH-AHB2014q019202")</f>
        <v>NMAH-AHB2014q019202</v>
      </c>
      <c r="B56" s="3" t="s">
        <v>306</v>
      </c>
      <c r="C56" s="3">
        <v>1452073</v>
      </c>
      <c r="D56" s="3" t="s">
        <v>24</v>
      </c>
      <c r="E56" s="4" t="s">
        <v>59</v>
      </c>
      <c r="F56" t="s">
        <v>61</v>
      </c>
      <c r="G56">
        <v>0.91213947534561157</v>
      </c>
      <c r="H56" t="s">
        <v>112</v>
      </c>
      <c r="I56">
        <v>0.74956268072128296</v>
      </c>
      <c r="J56" t="s">
        <v>307</v>
      </c>
      <c r="K56" s="4">
        <v>0.73789340257644653</v>
      </c>
      <c r="L56" t="s">
        <v>29</v>
      </c>
      <c r="M56">
        <v>0.35507670000000002</v>
      </c>
      <c r="N56" t="s">
        <v>65</v>
      </c>
      <c r="O56">
        <v>0.17541090000000001</v>
      </c>
      <c r="P56" t="s">
        <v>66</v>
      </c>
      <c r="Q56" s="4">
        <v>4.0102840000000001E-2</v>
      </c>
      <c r="R56" t="s">
        <v>29</v>
      </c>
      <c r="S56">
        <v>0.46217784000000001</v>
      </c>
      <c r="T56" t="s">
        <v>66</v>
      </c>
      <c r="U56">
        <v>0.10179196</v>
      </c>
      <c r="V56" t="s">
        <v>65</v>
      </c>
      <c r="W56">
        <v>3.7051226999999999E-2</v>
      </c>
    </row>
    <row r="57" spans="1:23" x14ac:dyDescent="0.25">
      <c r="A57" s="3" t="str">
        <f>HYPERLINK("http://ids.si.edu/ids/deliveryService?id=NMAH-ET2013-17373","NMAH-ET2013-17373")</f>
        <v>NMAH-ET2013-17373</v>
      </c>
      <c r="B57" s="3" t="s">
        <v>308</v>
      </c>
      <c r="C57" s="3">
        <v>1413552</v>
      </c>
      <c r="D57" s="3" t="s">
        <v>24</v>
      </c>
      <c r="E57" s="4" t="s">
        <v>309</v>
      </c>
      <c r="F57" t="s">
        <v>132</v>
      </c>
      <c r="G57">
        <v>0.83633017539978027</v>
      </c>
      <c r="H57" t="s">
        <v>310</v>
      </c>
      <c r="I57">
        <v>0.50453722476959229</v>
      </c>
      <c r="J57" t="s">
        <v>311</v>
      </c>
      <c r="K57" s="4">
        <v>0.50407630205154419</v>
      </c>
      <c r="L57" t="s">
        <v>312</v>
      </c>
      <c r="M57">
        <v>0.26524320000000001</v>
      </c>
      <c r="N57" t="s">
        <v>123</v>
      </c>
      <c r="O57">
        <v>0.10805853999999999</v>
      </c>
      <c r="P57" t="s">
        <v>313</v>
      </c>
      <c r="Q57" s="4">
        <v>6.0423560000000001E-2</v>
      </c>
      <c r="R57" t="s">
        <v>314</v>
      </c>
      <c r="S57">
        <v>0.1676019</v>
      </c>
      <c r="T57" t="s">
        <v>312</v>
      </c>
      <c r="U57">
        <v>0.12783865999999999</v>
      </c>
      <c r="V57" t="s">
        <v>248</v>
      </c>
      <c r="W57">
        <v>7.0620224000000009E-2</v>
      </c>
    </row>
    <row r="58" spans="1:23" x14ac:dyDescent="0.25">
      <c r="A58" s="3" t="str">
        <f>HYPERLINK("http://ids.si.edu/ids/deliveryService?id=NMAH-AHB2014q019232","NMAH-AHB2014q019232")</f>
        <v>NMAH-AHB2014q019232</v>
      </c>
      <c r="B58" s="3" t="s">
        <v>315</v>
      </c>
      <c r="C58" s="3">
        <v>1452058</v>
      </c>
      <c r="D58" s="3" t="s">
        <v>24</v>
      </c>
      <c r="E58" s="4" t="s">
        <v>59</v>
      </c>
      <c r="F58" t="s">
        <v>61</v>
      </c>
      <c r="G58">
        <v>0.95917093753814697</v>
      </c>
      <c r="H58" t="s">
        <v>112</v>
      </c>
      <c r="I58">
        <v>0.90802919864654541</v>
      </c>
      <c r="J58" t="s">
        <v>316</v>
      </c>
      <c r="K58" s="4">
        <v>0.73261111974716187</v>
      </c>
      <c r="L58" t="s">
        <v>66</v>
      </c>
      <c r="M58">
        <v>0.39443612</v>
      </c>
      <c r="N58" t="s">
        <v>29</v>
      </c>
      <c r="O58">
        <v>0.25771179999999999</v>
      </c>
      <c r="P58" t="s">
        <v>65</v>
      </c>
      <c r="Q58" s="4">
        <v>9.4155059999999999E-2</v>
      </c>
      <c r="R58" t="s">
        <v>29</v>
      </c>
      <c r="S58">
        <v>0.50699340000000004</v>
      </c>
      <c r="T58" t="s">
        <v>66</v>
      </c>
      <c r="U58">
        <v>9.1505130000000004E-2</v>
      </c>
      <c r="V58" t="s">
        <v>312</v>
      </c>
      <c r="W58">
        <v>2.6493069000000001E-2</v>
      </c>
    </row>
    <row r="59" spans="1:23" x14ac:dyDescent="0.25">
      <c r="A59" s="3" t="str">
        <f>HYPERLINK("http://ids.si.edu/ids/deliveryService?id=NMAH-RWS2017-00100","NMAH-RWS2017-00100")</f>
        <v>NMAH-RWS2017-00100</v>
      </c>
      <c r="B59" s="3" t="s">
        <v>317</v>
      </c>
      <c r="C59" s="3">
        <v>1804450</v>
      </c>
      <c r="D59" s="3" t="s">
        <v>24</v>
      </c>
      <c r="E59" s="4" t="s">
        <v>318</v>
      </c>
      <c r="F59" t="s">
        <v>256</v>
      </c>
      <c r="G59">
        <v>0.74109786748886108</v>
      </c>
      <c r="H59" t="s">
        <v>112</v>
      </c>
      <c r="I59">
        <v>0.68572378158569336</v>
      </c>
      <c r="L59" t="s">
        <v>253</v>
      </c>
      <c r="M59">
        <v>0.39088659999999997</v>
      </c>
      <c r="N59" t="s">
        <v>93</v>
      </c>
      <c r="O59">
        <v>8.2515619999999998E-2</v>
      </c>
      <c r="P59" t="s">
        <v>41</v>
      </c>
      <c r="Q59" s="4">
        <v>6.5256919999999996E-2</v>
      </c>
      <c r="R59" t="s">
        <v>241</v>
      </c>
      <c r="S59">
        <v>0.54004585999999999</v>
      </c>
      <c r="T59" t="s">
        <v>319</v>
      </c>
      <c r="U59">
        <v>7.6047229999999993E-2</v>
      </c>
      <c r="V59" t="s">
        <v>320</v>
      </c>
      <c r="W59">
        <v>5.1995890000000003E-2</v>
      </c>
    </row>
    <row r="60" spans="1:23" x14ac:dyDescent="0.25">
      <c r="A60" s="3" t="str">
        <f>HYPERLINK("http://ids.si.edu/ids/deliveryService?id=NMAH-ET2012-14203-000002","NMAH-ET2012-14203-000002")</f>
        <v>NMAH-ET2012-14203-000002</v>
      </c>
      <c r="B60" s="3" t="s">
        <v>321</v>
      </c>
      <c r="C60" s="3">
        <v>438749</v>
      </c>
      <c r="D60" s="3" t="s">
        <v>24</v>
      </c>
      <c r="E60" s="4" t="s">
        <v>322</v>
      </c>
      <c r="F60" t="s">
        <v>323</v>
      </c>
      <c r="G60">
        <v>0.93545311689376831</v>
      </c>
      <c r="H60" t="s">
        <v>324</v>
      </c>
      <c r="I60">
        <v>0.90133225917816162</v>
      </c>
      <c r="J60" t="s">
        <v>140</v>
      </c>
      <c r="K60" s="4">
        <v>0.89604735374450684</v>
      </c>
      <c r="L60" t="s">
        <v>87</v>
      </c>
      <c r="M60">
        <v>0.51558906000000004</v>
      </c>
      <c r="N60" t="s">
        <v>83</v>
      </c>
      <c r="O60">
        <v>0.32169797999999999</v>
      </c>
      <c r="P60" t="s">
        <v>53</v>
      </c>
      <c r="Q60" s="4">
        <v>6.012646E-2</v>
      </c>
      <c r="R60" t="s">
        <v>83</v>
      </c>
      <c r="S60">
        <v>0.24944760999999999</v>
      </c>
      <c r="T60" t="s">
        <v>53</v>
      </c>
      <c r="U60">
        <v>0.18858784000000001</v>
      </c>
      <c r="V60" t="s">
        <v>141</v>
      </c>
      <c r="W60">
        <v>9.8131410000000002E-2</v>
      </c>
    </row>
    <row r="61" spans="1:23" x14ac:dyDescent="0.25">
      <c r="A61" s="3" t="str">
        <f>HYPERLINK("http://ids.si.edu/ids/deliveryService?id=NMAH-AHB2014q019210","NMAH-AHB2014q019210")</f>
        <v>NMAH-AHB2014q019210</v>
      </c>
      <c r="B61" s="3" t="s">
        <v>325</v>
      </c>
      <c r="C61" s="3">
        <v>1452069</v>
      </c>
      <c r="D61" s="3" t="s">
        <v>24</v>
      </c>
      <c r="E61" s="4" t="s">
        <v>59</v>
      </c>
      <c r="F61" t="s">
        <v>61</v>
      </c>
      <c r="G61">
        <v>0.95044827461242676</v>
      </c>
      <c r="H61" t="s">
        <v>208</v>
      </c>
      <c r="I61">
        <v>0.90578961372375488</v>
      </c>
      <c r="J61" t="s">
        <v>112</v>
      </c>
      <c r="K61" s="4">
        <v>0.88824093341827393</v>
      </c>
      <c r="L61" t="s">
        <v>29</v>
      </c>
      <c r="M61">
        <v>0.25884938000000002</v>
      </c>
      <c r="N61" t="s">
        <v>65</v>
      </c>
      <c r="O61">
        <v>0.20264926999999999</v>
      </c>
      <c r="P61" t="s">
        <v>66</v>
      </c>
      <c r="Q61" s="4">
        <v>3.1244491999999999E-2</v>
      </c>
      <c r="R61" t="s">
        <v>29</v>
      </c>
      <c r="S61">
        <v>0.45601517000000003</v>
      </c>
      <c r="T61" t="s">
        <v>66</v>
      </c>
      <c r="U61">
        <v>6.2909060000000003E-2</v>
      </c>
      <c r="V61" t="s">
        <v>209</v>
      </c>
      <c r="W61">
        <v>3.3552474999999998E-2</v>
      </c>
    </row>
    <row r="62" spans="1:23" x14ac:dyDescent="0.25">
      <c r="A62" s="3" t="str">
        <f>HYPERLINK("http://ids.si.edu/ids/deliveryService?id=NMAH-AHB2016q069105","NMAH-AHB2016q069105")</f>
        <v>NMAH-AHB2016q069105</v>
      </c>
      <c r="B62" s="3" t="s">
        <v>326</v>
      </c>
      <c r="C62" s="3">
        <v>1818392</v>
      </c>
      <c r="D62" s="3" t="s">
        <v>24</v>
      </c>
      <c r="E62" s="4" t="s">
        <v>327</v>
      </c>
      <c r="F62" t="s">
        <v>26</v>
      </c>
      <c r="G62">
        <v>0.69462388753890991</v>
      </c>
      <c r="H62" t="s">
        <v>328</v>
      </c>
      <c r="I62">
        <v>0.53263717889785767</v>
      </c>
      <c r="L62" t="s">
        <v>329</v>
      </c>
      <c r="M62">
        <v>0.60545100000000007</v>
      </c>
      <c r="N62" t="s">
        <v>330</v>
      </c>
      <c r="O62">
        <v>0.13082725000000001</v>
      </c>
      <c r="P62" t="s">
        <v>184</v>
      </c>
      <c r="Q62" s="4">
        <v>3.7528560000000002E-2</v>
      </c>
      <c r="R62" t="s">
        <v>329</v>
      </c>
      <c r="S62">
        <v>0.70011669999999993</v>
      </c>
      <c r="T62" t="s">
        <v>32</v>
      </c>
      <c r="U62">
        <v>6.3864305999999996E-2</v>
      </c>
      <c r="V62" t="s">
        <v>330</v>
      </c>
      <c r="W62">
        <v>5.4555542999999998E-2</v>
      </c>
    </row>
    <row r="63" spans="1:23" x14ac:dyDescent="0.25">
      <c r="A63" s="3" t="str">
        <f>HYPERLINK("http://ids.si.edu/ids/deliveryService?id=NMAH-JN2016-03368-000001","NMAH-JN2016-03368-000001")</f>
        <v>NMAH-JN2016-03368-000001</v>
      </c>
      <c r="B63" s="3" t="s">
        <v>331</v>
      </c>
      <c r="C63" s="3">
        <v>434729</v>
      </c>
      <c r="D63" s="3" t="s">
        <v>24</v>
      </c>
      <c r="E63" s="4" t="s">
        <v>332</v>
      </c>
      <c r="F63" t="s">
        <v>50</v>
      </c>
      <c r="G63">
        <v>0.5114516019821167</v>
      </c>
      <c r="L63" t="s">
        <v>335</v>
      </c>
      <c r="M63">
        <v>0.16679633999999999</v>
      </c>
      <c r="N63" t="s">
        <v>336</v>
      </c>
      <c r="O63">
        <v>7.4052919999999994E-2</v>
      </c>
      <c r="P63" t="s">
        <v>337</v>
      </c>
      <c r="Q63" s="4">
        <v>4.6008862999999997E-2</v>
      </c>
      <c r="R63" t="s">
        <v>338</v>
      </c>
      <c r="S63">
        <v>0.12673946999999999</v>
      </c>
      <c r="T63" t="s">
        <v>335</v>
      </c>
      <c r="U63">
        <v>0.10189408</v>
      </c>
      <c r="V63" t="s">
        <v>330</v>
      </c>
      <c r="W63">
        <v>8.3001969999999994E-2</v>
      </c>
    </row>
    <row r="64" spans="1:23" x14ac:dyDescent="0.25">
      <c r="A64" s="3" t="str">
        <f>HYPERLINK("http://ids.si.edu/ids/deliveryService?id=NMAH-AHB2010ps05468","NMAH-AHB2010ps05468")</f>
        <v>NMAH-AHB2010ps05468</v>
      </c>
      <c r="B64" s="3" t="s">
        <v>339</v>
      </c>
      <c r="C64" s="3">
        <v>1388458</v>
      </c>
      <c r="D64" s="3" t="s">
        <v>24</v>
      </c>
      <c r="E64" s="4" t="s">
        <v>131</v>
      </c>
      <c r="F64" t="s">
        <v>101</v>
      </c>
      <c r="G64">
        <v>0.97898286581039429</v>
      </c>
      <c r="H64" t="s">
        <v>340</v>
      </c>
      <c r="I64">
        <v>0.95718741416931152</v>
      </c>
      <c r="J64" t="s">
        <v>103</v>
      </c>
      <c r="K64" s="4">
        <v>0.92773503065109253</v>
      </c>
      <c r="L64" t="s">
        <v>108</v>
      </c>
      <c r="M64">
        <v>0.27689907000000002</v>
      </c>
      <c r="N64" t="s">
        <v>341</v>
      </c>
      <c r="O64">
        <v>0.26020916999999999</v>
      </c>
      <c r="P64" t="s">
        <v>104</v>
      </c>
      <c r="Q64" s="4">
        <v>0.1493767</v>
      </c>
      <c r="R64" t="s">
        <v>108</v>
      </c>
      <c r="S64">
        <v>0.81559324</v>
      </c>
      <c r="T64" t="s">
        <v>341</v>
      </c>
      <c r="U64">
        <v>6.9016695000000003E-2</v>
      </c>
      <c r="V64" t="s">
        <v>134</v>
      </c>
      <c r="W64">
        <v>2.3040728999999999E-2</v>
      </c>
    </row>
    <row r="65" spans="1:23" x14ac:dyDescent="0.25">
      <c r="A65" s="3" t="str">
        <f>HYPERLINK("http://ids.si.edu/ids/deliveryService?id=NMAH-ET2010-28732-000003","NMAH-ET2010-28732-000003")</f>
        <v>NMAH-ET2010-28732-000003</v>
      </c>
      <c r="B65" s="3" t="s">
        <v>342</v>
      </c>
      <c r="C65" s="3">
        <v>438539</v>
      </c>
      <c r="D65" s="3" t="s">
        <v>24</v>
      </c>
      <c r="E65" s="4" t="s">
        <v>25</v>
      </c>
      <c r="F65" t="s">
        <v>26</v>
      </c>
      <c r="G65">
        <v>0.99139916896820068</v>
      </c>
      <c r="H65" t="s">
        <v>28</v>
      </c>
      <c r="I65">
        <v>0.97464686632156372</v>
      </c>
      <c r="J65" t="s">
        <v>27</v>
      </c>
      <c r="K65" s="4">
        <v>0.9739728569984436</v>
      </c>
      <c r="L65" t="s">
        <v>32</v>
      </c>
      <c r="M65">
        <v>0.76300745999999997</v>
      </c>
      <c r="N65" t="s">
        <v>33</v>
      </c>
      <c r="O65">
        <v>0.19012019999999999</v>
      </c>
      <c r="P65" t="s">
        <v>34</v>
      </c>
      <c r="Q65" s="4">
        <v>1.9343330999999998E-2</v>
      </c>
      <c r="R65" t="s">
        <v>87</v>
      </c>
      <c r="S65">
        <v>0.44789206999999998</v>
      </c>
      <c r="T65" t="s">
        <v>83</v>
      </c>
      <c r="U65">
        <v>0.16675787</v>
      </c>
      <c r="V65" t="s">
        <v>33</v>
      </c>
      <c r="W65">
        <v>8.2744700000000004E-2</v>
      </c>
    </row>
    <row r="66" spans="1:23" x14ac:dyDescent="0.25">
      <c r="A66" s="3" t="str">
        <f>HYPERLINK("http://ids.si.edu/ids/deliveryService?id=NMAH-AHB2016q066510","NMAH-AHB2016q066510")</f>
        <v>NMAH-AHB2016q066510</v>
      </c>
      <c r="B66" s="3" t="s">
        <v>343</v>
      </c>
      <c r="C66" s="3">
        <v>1757988</v>
      </c>
      <c r="D66" s="3" t="s">
        <v>24</v>
      </c>
      <c r="E66" s="4" t="s">
        <v>344</v>
      </c>
      <c r="F66" t="s">
        <v>345</v>
      </c>
      <c r="G66">
        <v>0.96904939413070679</v>
      </c>
      <c r="H66" t="s">
        <v>346</v>
      </c>
      <c r="I66">
        <v>0.80829805135726929</v>
      </c>
      <c r="J66" t="s">
        <v>347</v>
      </c>
      <c r="K66" s="4">
        <v>0.78438401222229004</v>
      </c>
      <c r="L66" t="s">
        <v>349</v>
      </c>
      <c r="M66">
        <v>0.22958227</v>
      </c>
      <c r="N66" t="s">
        <v>350</v>
      </c>
      <c r="O66">
        <v>0.20859433999999999</v>
      </c>
      <c r="P66" t="s">
        <v>351</v>
      </c>
      <c r="Q66" s="4">
        <v>0.15441687000000001</v>
      </c>
      <c r="R66" t="s">
        <v>212</v>
      </c>
      <c r="S66">
        <v>0.21698729999999999</v>
      </c>
      <c r="T66" t="s">
        <v>350</v>
      </c>
      <c r="U66">
        <v>0.17308548000000001</v>
      </c>
      <c r="V66" t="s">
        <v>349</v>
      </c>
      <c r="W66">
        <v>0.15833037</v>
      </c>
    </row>
    <row r="67" spans="1:23" x14ac:dyDescent="0.25">
      <c r="A67" s="3" t="str">
        <f>HYPERLINK("http://ids.si.edu/ids/deliveryService?id=NMAH-AHB2017q000180","NMAH-AHB2017q000180")</f>
        <v>NMAH-AHB2017q000180</v>
      </c>
      <c r="B67" s="3" t="s">
        <v>352</v>
      </c>
      <c r="C67" s="3">
        <v>443592</v>
      </c>
      <c r="D67" s="3" t="s">
        <v>24</v>
      </c>
      <c r="E67" s="4" t="s">
        <v>125</v>
      </c>
      <c r="F67" t="s">
        <v>126</v>
      </c>
      <c r="G67">
        <v>0.96588629484176636</v>
      </c>
      <c r="H67" t="s">
        <v>353</v>
      </c>
      <c r="I67">
        <v>0.67940604686737061</v>
      </c>
      <c r="J67" t="s">
        <v>128</v>
      </c>
      <c r="K67" s="4">
        <v>0.58299434185028076</v>
      </c>
      <c r="L67" t="s">
        <v>129</v>
      </c>
      <c r="M67">
        <v>0.61206526000000006</v>
      </c>
      <c r="N67" t="s">
        <v>354</v>
      </c>
      <c r="O67">
        <v>0.23754977999999999</v>
      </c>
      <c r="P67" t="s">
        <v>65</v>
      </c>
      <c r="Q67" s="4">
        <v>5.3094420000000003E-2</v>
      </c>
      <c r="R67" t="s">
        <v>65</v>
      </c>
      <c r="S67">
        <v>0.53734773000000002</v>
      </c>
      <c r="T67" t="s">
        <v>129</v>
      </c>
      <c r="U67">
        <v>0.4234174</v>
      </c>
      <c r="V67" t="s">
        <v>29</v>
      </c>
      <c r="W67">
        <v>1.5768183000000002E-2</v>
      </c>
    </row>
    <row r="68" spans="1:23" x14ac:dyDescent="0.25">
      <c r="A68" s="3" t="str">
        <f>HYPERLINK("http://ids.si.edu/ids/deliveryService?id=NMAH-JN2014-3146","NMAH-JN2014-3146")</f>
        <v>NMAH-JN2014-3146</v>
      </c>
      <c r="B68" s="3" t="s">
        <v>355</v>
      </c>
      <c r="C68" s="3">
        <v>446354</v>
      </c>
      <c r="D68" s="3" t="s">
        <v>24</v>
      </c>
      <c r="E68" s="4" t="s">
        <v>356</v>
      </c>
      <c r="F68" t="s">
        <v>101</v>
      </c>
      <c r="G68">
        <v>0.99083328247070313</v>
      </c>
      <c r="H68" t="s">
        <v>103</v>
      </c>
      <c r="I68">
        <v>0.98760831356048584</v>
      </c>
      <c r="J68" t="s">
        <v>340</v>
      </c>
      <c r="K68" s="4">
        <v>0.96594423055648804</v>
      </c>
      <c r="L68" t="s">
        <v>107</v>
      </c>
      <c r="M68">
        <v>0.77580859999999996</v>
      </c>
      <c r="N68" t="s">
        <v>357</v>
      </c>
      <c r="O68">
        <v>9.1518790000000003E-2</v>
      </c>
      <c r="P68" t="s">
        <v>106</v>
      </c>
      <c r="Q68" s="4">
        <v>3.2825420000000001E-2</v>
      </c>
      <c r="R68" t="s">
        <v>107</v>
      </c>
      <c r="S68">
        <v>0.36856552999999997</v>
      </c>
      <c r="T68" t="s">
        <v>357</v>
      </c>
      <c r="U68">
        <v>0.1921485</v>
      </c>
      <c r="V68" t="s">
        <v>358</v>
      </c>
      <c r="W68">
        <v>6.0739353000000003E-2</v>
      </c>
    </row>
    <row r="69" spans="1:23" x14ac:dyDescent="0.25">
      <c r="A69" s="3" t="str">
        <f>HYPERLINK("http://ids.si.edu/ids/deliveryService?id=NMAH-ET2013-16667","NMAH-ET2013-16667")</f>
        <v>NMAH-ET2013-16667</v>
      </c>
      <c r="B69" s="3" t="s">
        <v>359</v>
      </c>
      <c r="C69" s="3">
        <v>663058</v>
      </c>
      <c r="D69" s="3" t="s">
        <v>24</v>
      </c>
      <c r="E69" s="4" t="s">
        <v>360</v>
      </c>
      <c r="F69" t="s">
        <v>270</v>
      </c>
      <c r="G69">
        <v>0.97084528207778931</v>
      </c>
      <c r="H69" t="s">
        <v>272</v>
      </c>
      <c r="I69">
        <v>0.89862000942230225</v>
      </c>
      <c r="J69" t="s">
        <v>361</v>
      </c>
      <c r="K69" s="4">
        <v>0.78384625911712646</v>
      </c>
      <c r="L69" t="s">
        <v>123</v>
      </c>
      <c r="M69">
        <v>0.34210983</v>
      </c>
      <c r="N69" t="s">
        <v>122</v>
      </c>
      <c r="O69">
        <v>6.2033064999999998E-2</v>
      </c>
      <c r="P69" t="s">
        <v>362</v>
      </c>
      <c r="Q69" s="4">
        <v>4.4444474999999997E-2</v>
      </c>
      <c r="R69" t="s">
        <v>363</v>
      </c>
      <c r="S69">
        <v>0.12962504</v>
      </c>
      <c r="T69" t="s">
        <v>364</v>
      </c>
      <c r="U69">
        <v>9.9941230000000006E-2</v>
      </c>
      <c r="V69" t="s">
        <v>365</v>
      </c>
      <c r="W69">
        <v>8.3658979999999994E-2</v>
      </c>
    </row>
    <row r="70" spans="1:23" x14ac:dyDescent="0.25">
      <c r="A70" s="3" t="str">
        <f>HYPERLINK("http://ids.si.edu/ids/deliveryService?id=NMAH-ET2013-16814","NMAH-ET2013-16814")</f>
        <v>NMAH-ET2013-16814</v>
      </c>
      <c r="B70" s="3" t="s">
        <v>366</v>
      </c>
      <c r="C70" s="3">
        <v>433314</v>
      </c>
      <c r="D70" s="3" t="s">
        <v>24</v>
      </c>
      <c r="E70" s="4" t="s">
        <v>367</v>
      </c>
      <c r="F70" t="s">
        <v>91</v>
      </c>
      <c r="G70">
        <v>0.97017735242843628</v>
      </c>
      <c r="H70" t="s">
        <v>368</v>
      </c>
      <c r="I70">
        <v>0.71532070636749268</v>
      </c>
      <c r="L70" t="s">
        <v>183</v>
      </c>
      <c r="M70">
        <v>0.34806199999999998</v>
      </c>
      <c r="N70" t="s">
        <v>141</v>
      </c>
      <c r="O70">
        <v>0.14328492000000001</v>
      </c>
      <c r="P70" t="s">
        <v>369</v>
      </c>
      <c r="Q70" s="4">
        <v>0.13999629</v>
      </c>
      <c r="R70" t="s">
        <v>141</v>
      </c>
      <c r="S70">
        <v>0.47658879999999998</v>
      </c>
      <c r="T70" t="s">
        <v>370</v>
      </c>
      <c r="U70">
        <v>0.15588452999999999</v>
      </c>
      <c r="V70" t="s">
        <v>371</v>
      </c>
      <c r="W70">
        <v>0.14409511999999999</v>
      </c>
    </row>
    <row r="71" spans="1:23" x14ac:dyDescent="0.25">
      <c r="A71" s="3" t="str">
        <f>HYPERLINK("http://ids.si.edu/ids/deliveryService?id=NMAH-AHB2015q011421","NMAH-AHB2015q011421")</f>
        <v>NMAH-AHB2015q011421</v>
      </c>
      <c r="B71" s="3" t="s">
        <v>372</v>
      </c>
      <c r="C71" s="3">
        <v>1759796</v>
      </c>
      <c r="D71" s="3" t="s">
        <v>24</v>
      </c>
      <c r="E71" s="4" t="s">
        <v>373</v>
      </c>
      <c r="F71" t="s">
        <v>60</v>
      </c>
      <c r="G71">
        <v>0.95140302181243896</v>
      </c>
      <c r="H71" t="s">
        <v>374</v>
      </c>
      <c r="I71">
        <v>0.6242249608039856</v>
      </c>
      <c r="J71" t="s">
        <v>375</v>
      </c>
      <c r="K71" s="4">
        <v>0.56407898664474487</v>
      </c>
      <c r="L71" t="s">
        <v>376</v>
      </c>
      <c r="M71">
        <v>0.38624947999999998</v>
      </c>
      <c r="N71" t="s">
        <v>377</v>
      </c>
      <c r="O71">
        <v>8.7718870000000004E-2</v>
      </c>
      <c r="P71" t="s">
        <v>378</v>
      </c>
      <c r="Q71" s="4">
        <v>7.7503370000000002E-2</v>
      </c>
      <c r="R71" t="s">
        <v>376</v>
      </c>
      <c r="S71">
        <v>0.52903944000000003</v>
      </c>
      <c r="T71" t="s">
        <v>379</v>
      </c>
      <c r="U71">
        <v>0.14070842</v>
      </c>
      <c r="V71" t="s">
        <v>377</v>
      </c>
      <c r="W71">
        <v>5.1074500000000002E-2</v>
      </c>
    </row>
    <row r="72" spans="1:23" x14ac:dyDescent="0.25">
      <c r="A72" s="3" t="str">
        <f>HYPERLINK("http://ids.si.edu/ids/deliveryService?id=NMAH-AHB2014q019224","NMAH-AHB2014q019224")</f>
        <v>NMAH-AHB2014q019224</v>
      </c>
      <c r="B72" s="3" t="s">
        <v>380</v>
      </c>
      <c r="C72" s="3">
        <v>1452062</v>
      </c>
      <c r="D72" s="3" t="s">
        <v>24</v>
      </c>
      <c r="E72" s="4" t="s">
        <v>59</v>
      </c>
      <c r="F72" t="s">
        <v>61</v>
      </c>
      <c r="G72">
        <v>0.96236521005630493</v>
      </c>
      <c r="H72" t="s">
        <v>208</v>
      </c>
      <c r="I72">
        <v>0.89000636339187622</v>
      </c>
      <c r="J72" t="s">
        <v>112</v>
      </c>
      <c r="K72" s="4">
        <v>0.87902200222015381</v>
      </c>
      <c r="L72" t="s">
        <v>29</v>
      </c>
      <c r="M72">
        <v>0.20784004</v>
      </c>
      <c r="N72" t="s">
        <v>65</v>
      </c>
      <c r="O72">
        <v>0.10535367599999999</v>
      </c>
      <c r="P72" t="s">
        <v>66</v>
      </c>
      <c r="Q72" s="4">
        <v>7.6227754000000009E-2</v>
      </c>
      <c r="R72" t="s">
        <v>29</v>
      </c>
      <c r="S72">
        <v>0.17438363000000001</v>
      </c>
      <c r="T72" t="s">
        <v>209</v>
      </c>
      <c r="U72">
        <v>7.924283E-2</v>
      </c>
      <c r="V72" t="s">
        <v>134</v>
      </c>
      <c r="W72">
        <v>4.3406979999999998E-2</v>
      </c>
    </row>
    <row r="73" spans="1:23" x14ac:dyDescent="0.25">
      <c r="A73" s="3" t="str">
        <f>HYPERLINK("http://ids.si.edu/ids/deliveryService?id=NMAH-ET2010-31209-000003","NMAH-ET2010-31209-000003")</f>
        <v>NMAH-ET2010-31209-000003</v>
      </c>
      <c r="B73" s="3" t="s">
        <v>381</v>
      </c>
      <c r="C73" s="3">
        <v>438541</v>
      </c>
      <c r="D73" s="3" t="s">
        <v>24</v>
      </c>
      <c r="E73" s="4" t="s">
        <v>25</v>
      </c>
      <c r="F73" t="s">
        <v>26</v>
      </c>
      <c r="G73">
        <v>0.99201518297195435</v>
      </c>
      <c r="H73" t="s">
        <v>27</v>
      </c>
      <c r="I73">
        <v>0.98838073015213013</v>
      </c>
      <c r="J73" t="s">
        <v>28</v>
      </c>
      <c r="K73" s="4">
        <v>0.98260343074798584</v>
      </c>
      <c r="L73" t="s">
        <v>33</v>
      </c>
      <c r="M73">
        <v>0.63041055000000001</v>
      </c>
      <c r="N73" t="s">
        <v>32</v>
      </c>
      <c r="O73">
        <v>0.34937507000000001</v>
      </c>
      <c r="P73" t="s">
        <v>34</v>
      </c>
      <c r="Q73" s="4">
        <v>1.7644843E-2</v>
      </c>
      <c r="R73" t="s">
        <v>33</v>
      </c>
      <c r="S73">
        <v>0.59073984999999996</v>
      </c>
      <c r="T73" t="s">
        <v>87</v>
      </c>
      <c r="U73">
        <v>7.7213199999999996E-2</v>
      </c>
      <c r="V73" t="s">
        <v>35</v>
      </c>
      <c r="W73">
        <v>6.9183834E-2</v>
      </c>
    </row>
    <row r="74" spans="1:23" x14ac:dyDescent="0.25">
      <c r="A74" s="3" t="str">
        <f>HYPERLINK("http://ids.si.edu/ids/deliveryService?id=NMAH-ET2013-16639","NMAH-ET2013-16639")</f>
        <v>NMAH-ET2013-16639</v>
      </c>
      <c r="B74" s="3" t="s">
        <v>382</v>
      </c>
      <c r="C74" s="3">
        <v>1366888</v>
      </c>
      <c r="D74" s="3" t="s">
        <v>24</v>
      </c>
      <c r="E74" s="4" t="s">
        <v>193</v>
      </c>
      <c r="F74" t="s">
        <v>194</v>
      </c>
      <c r="G74">
        <v>0.87372976541519165</v>
      </c>
      <c r="H74" t="s">
        <v>196</v>
      </c>
      <c r="I74">
        <v>0.82460808753967285</v>
      </c>
      <c r="J74" t="s">
        <v>311</v>
      </c>
      <c r="K74" s="4">
        <v>0.7095673680305481</v>
      </c>
      <c r="L74" t="s">
        <v>66</v>
      </c>
      <c r="M74">
        <v>0.11545974000000001</v>
      </c>
      <c r="N74" t="s">
        <v>209</v>
      </c>
      <c r="O74">
        <v>4.724925E-2</v>
      </c>
      <c r="P74" t="s">
        <v>383</v>
      </c>
      <c r="Q74" s="4">
        <v>3.6870312000000002E-2</v>
      </c>
      <c r="R74" t="s">
        <v>209</v>
      </c>
      <c r="S74">
        <v>0.32555073000000001</v>
      </c>
      <c r="T74" t="s">
        <v>66</v>
      </c>
      <c r="U74">
        <v>0.27056829999999998</v>
      </c>
      <c r="V74" t="s">
        <v>226</v>
      </c>
      <c r="W74">
        <v>4.4854417000000001E-2</v>
      </c>
    </row>
    <row r="75" spans="1:23" x14ac:dyDescent="0.25">
      <c r="A75" s="3" t="str">
        <f>HYPERLINK("http://ids.si.edu/ids/deliveryService?id=NMAH-ET2010-28499-000003","NMAH-ET2010-28499-000003")</f>
        <v>NMAH-ET2010-28499-000003</v>
      </c>
      <c r="B75" s="3" t="s">
        <v>384</v>
      </c>
      <c r="C75" s="3">
        <v>438588</v>
      </c>
      <c r="D75" s="3" t="s">
        <v>24</v>
      </c>
      <c r="E75" s="4" t="s">
        <v>25</v>
      </c>
      <c r="F75" t="s">
        <v>26</v>
      </c>
      <c r="G75">
        <v>0.99201518297195435</v>
      </c>
      <c r="H75" t="s">
        <v>28</v>
      </c>
      <c r="I75">
        <v>0.98466277122497559</v>
      </c>
      <c r="J75" t="s">
        <v>27</v>
      </c>
      <c r="K75" s="4">
        <v>0.98407441377639771</v>
      </c>
      <c r="L75" t="s">
        <v>32</v>
      </c>
      <c r="M75">
        <v>0.95172469999999998</v>
      </c>
      <c r="N75" t="s">
        <v>33</v>
      </c>
      <c r="O75">
        <v>4.3483319999999999E-2</v>
      </c>
      <c r="P75" t="s">
        <v>34</v>
      </c>
      <c r="Q75" s="4">
        <v>3.7646735999999998E-3</v>
      </c>
      <c r="R75" t="s">
        <v>87</v>
      </c>
      <c r="S75">
        <v>0.19939224</v>
      </c>
      <c r="T75" t="s">
        <v>32</v>
      </c>
      <c r="U75">
        <v>0.14900116999999999</v>
      </c>
      <c r="V75" t="s">
        <v>159</v>
      </c>
      <c r="W75">
        <v>0.11285221600000001</v>
      </c>
    </row>
    <row r="76" spans="1:23" x14ac:dyDescent="0.25">
      <c r="A76" s="3" t="str">
        <f>HYPERLINK("http://ids.si.edu/ids/deliveryService?id=NMAH-AHB2017q072882","NMAH-AHB2017q072882")</f>
        <v>NMAH-AHB2017q072882</v>
      </c>
      <c r="B76" s="3" t="s">
        <v>385</v>
      </c>
      <c r="C76" s="3">
        <v>1849544</v>
      </c>
      <c r="D76" s="3" t="s">
        <v>386</v>
      </c>
      <c r="E76" s="4" t="s">
        <v>387</v>
      </c>
      <c r="F76" t="s">
        <v>388</v>
      </c>
      <c r="G76">
        <v>0.73119652271270752</v>
      </c>
      <c r="H76" t="s">
        <v>179</v>
      </c>
      <c r="I76">
        <v>0.71705842018127441</v>
      </c>
      <c r="L76" t="s">
        <v>148</v>
      </c>
      <c r="M76">
        <v>0.69823325000000003</v>
      </c>
      <c r="N76" t="s">
        <v>390</v>
      </c>
      <c r="O76">
        <v>0.15160091000000001</v>
      </c>
      <c r="P76" t="s">
        <v>391</v>
      </c>
      <c r="Q76" s="4">
        <v>6.9712244000000007E-2</v>
      </c>
      <c r="R76" t="s">
        <v>148</v>
      </c>
      <c r="S76">
        <v>0.97349449999999993</v>
      </c>
      <c r="T76" t="s">
        <v>392</v>
      </c>
      <c r="U76">
        <v>7.5652810000000001E-3</v>
      </c>
      <c r="V76" t="s">
        <v>393</v>
      </c>
      <c r="W76">
        <v>7.2799847000000004E-3</v>
      </c>
    </row>
    <row r="77" spans="1:23" x14ac:dyDescent="0.25">
      <c r="A77" s="3" t="str">
        <f>HYPERLINK("http://ids.si.edu/ids/deliveryService?id=NMAH-AHB2017q072874","NMAH-AHB2017q072874")</f>
        <v>NMAH-AHB2017q072874</v>
      </c>
      <c r="B77" s="3" t="s">
        <v>394</v>
      </c>
      <c r="C77" s="3">
        <v>1849588</v>
      </c>
      <c r="D77" s="3" t="s">
        <v>386</v>
      </c>
      <c r="E77" s="4" t="s">
        <v>395</v>
      </c>
      <c r="F77" t="s">
        <v>256</v>
      </c>
      <c r="G77">
        <v>0.85390579700469971</v>
      </c>
      <c r="H77" t="s">
        <v>396</v>
      </c>
      <c r="I77">
        <v>0.83853346109390259</v>
      </c>
      <c r="J77" t="s">
        <v>230</v>
      </c>
      <c r="K77" s="4">
        <v>0.77756857872009277</v>
      </c>
      <c r="L77" t="s">
        <v>45</v>
      </c>
      <c r="M77">
        <v>9.8186134999999994E-2</v>
      </c>
      <c r="N77" t="s">
        <v>397</v>
      </c>
      <c r="O77">
        <v>9.431668E-2</v>
      </c>
      <c r="P77" t="s">
        <v>390</v>
      </c>
      <c r="Q77" s="4">
        <v>8.1267850000000003E-2</v>
      </c>
      <c r="R77" t="s">
        <v>260</v>
      </c>
      <c r="S77">
        <v>0.22589116000000001</v>
      </c>
      <c r="T77" t="s">
        <v>148</v>
      </c>
      <c r="U77">
        <v>0.15622704000000001</v>
      </c>
      <c r="V77" t="s">
        <v>398</v>
      </c>
      <c r="W77">
        <v>0.10763286</v>
      </c>
    </row>
    <row r="78" spans="1:23" x14ac:dyDescent="0.25">
      <c r="A78" s="3" t="str">
        <f>HYPERLINK("http://ids.si.edu/ids/deliveryService?id=NMAH-AHB2013q104651","NMAH-AHB2013q104651")</f>
        <v>NMAH-AHB2013q104651</v>
      </c>
      <c r="B78" s="3" t="s">
        <v>399</v>
      </c>
      <c r="C78" s="3">
        <v>1425816</v>
      </c>
      <c r="D78" s="3" t="s">
        <v>386</v>
      </c>
      <c r="E78" s="4" t="s">
        <v>400</v>
      </c>
      <c r="F78" t="s">
        <v>401</v>
      </c>
      <c r="G78">
        <v>0.7715449333190918</v>
      </c>
      <c r="H78" t="s">
        <v>402</v>
      </c>
      <c r="I78">
        <v>0.76647841930389404</v>
      </c>
      <c r="J78" t="s">
        <v>403</v>
      </c>
      <c r="K78" s="4">
        <v>0.72767519950866699</v>
      </c>
      <c r="L78" t="s">
        <v>29</v>
      </c>
      <c r="M78">
        <v>0.68151640000000002</v>
      </c>
      <c r="N78" t="s">
        <v>129</v>
      </c>
      <c r="O78">
        <v>8.1546955000000004E-2</v>
      </c>
      <c r="P78" t="s">
        <v>405</v>
      </c>
      <c r="Q78" s="4">
        <v>6.8218520000000005E-2</v>
      </c>
      <c r="R78" t="s">
        <v>29</v>
      </c>
      <c r="S78">
        <v>0.21257527000000001</v>
      </c>
      <c r="T78" t="s">
        <v>65</v>
      </c>
      <c r="U78">
        <v>0.13901210999999999</v>
      </c>
      <c r="V78" t="s">
        <v>129</v>
      </c>
      <c r="W78">
        <v>0.13892649000000001</v>
      </c>
    </row>
    <row r="79" spans="1:23" x14ac:dyDescent="0.25">
      <c r="A79" s="3" t="str">
        <f>HYPERLINK("http://ids.si.edu/ids/deliveryService?id=NMAH-AHB2017q072565","NMAH-AHB2017q072565")</f>
        <v>NMAH-AHB2017q072565</v>
      </c>
      <c r="B79" s="3" t="s">
        <v>406</v>
      </c>
      <c r="C79" s="3">
        <v>1435645</v>
      </c>
      <c r="D79" s="3" t="s">
        <v>386</v>
      </c>
      <c r="E79" s="4" t="s">
        <v>407</v>
      </c>
      <c r="F79" t="s">
        <v>178</v>
      </c>
      <c r="G79">
        <v>0.95659315586090088</v>
      </c>
      <c r="H79" t="s">
        <v>179</v>
      </c>
      <c r="I79">
        <v>0.94162207841873169</v>
      </c>
      <c r="J79" t="s">
        <v>408</v>
      </c>
      <c r="K79" s="4">
        <v>0.92559891939163208</v>
      </c>
      <c r="L79" t="s">
        <v>390</v>
      </c>
      <c r="M79">
        <v>0.34189543</v>
      </c>
      <c r="N79" t="s">
        <v>409</v>
      </c>
      <c r="O79">
        <v>0.12985379999999999</v>
      </c>
      <c r="P79" t="s">
        <v>410</v>
      </c>
      <c r="Q79" s="4">
        <v>9.1871544999999999E-2</v>
      </c>
      <c r="R79" t="s">
        <v>411</v>
      </c>
      <c r="S79">
        <v>0.24716493</v>
      </c>
      <c r="T79" t="s">
        <v>412</v>
      </c>
      <c r="U79">
        <v>0.14726512</v>
      </c>
      <c r="V79" t="s">
        <v>177</v>
      </c>
      <c r="W79">
        <v>7.0454760000000005E-2</v>
      </c>
    </row>
    <row r="80" spans="1:23" x14ac:dyDescent="0.25">
      <c r="A80" s="3" t="str">
        <f>HYPERLINK("http://ids.si.edu/ids/deliveryService?id=NMAH-JN2017-00649-000001","NMAH-JN2017-00649-000001")</f>
        <v>NMAH-JN2017-00649-000001</v>
      </c>
      <c r="B80" s="3" t="s">
        <v>413</v>
      </c>
      <c r="C80" s="3">
        <v>1140806</v>
      </c>
      <c r="D80" s="3" t="s">
        <v>386</v>
      </c>
      <c r="E80" s="4" t="s">
        <v>414</v>
      </c>
      <c r="F80" t="s">
        <v>49</v>
      </c>
      <c r="G80">
        <v>0.9133293628692627</v>
      </c>
      <c r="H80" t="s">
        <v>50</v>
      </c>
      <c r="I80">
        <v>0.8961443305015564</v>
      </c>
      <c r="J80" t="s">
        <v>415</v>
      </c>
      <c r="K80" s="4">
        <v>0.70311307907104492</v>
      </c>
      <c r="L80" t="s">
        <v>416</v>
      </c>
      <c r="M80">
        <v>0.19859129</v>
      </c>
      <c r="N80" t="s">
        <v>364</v>
      </c>
      <c r="O80">
        <v>9.0085200000000004E-2</v>
      </c>
      <c r="P80" t="s">
        <v>314</v>
      </c>
      <c r="Q80" s="4">
        <v>8.4482219999999997E-2</v>
      </c>
      <c r="R80" t="s">
        <v>416</v>
      </c>
      <c r="S80">
        <v>0.21697340000000001</v>
      </c>
      <c r="T80" t="s">
        <v>174</v>
      </c>
      <c r="U80">
        <v>7.0905460000000003E-2</v>
      </c>
      <c r="V80" t="s">
        <v>314</v>
      </c>
      <c r="W80">
        <v>6.9103339999999999E-2</v>
      </c>
    </row>
    <row r="81" spans="1:23" x14ac:dyDescent="0.25">
      <c r="A81" s="3" t="str">
        <f>HYPERLINK("http://ids.si.edu/ids/deliveryService?id=NMAH-AHB2017q071779","NMAH-AHB2017q071779")</f>
        <v>NMAH-AHB2017q071779</v>
      </c>
      <c r="B81" s="3" t="s">
        <v>417</v>
      </c>
      <c r="C81" s="3">
        <v>1848107</v>
      </c>
      <c r="D81" s="3" t="s">
        <v>386</v>
      </c>
      <c r="E81" s="4" t="s">
        <v>418</v>
      </c>
      <c r="F81" t="s">
        <v>419</v>
      </c>
      <c r="G81">
        <v>0.96051234006881714</v>
      </c>
      <c r="H81" t="s">
        <v>178</v>
      </c>
      <c r="I81">
        <v>0.92596185207366943</v>
      </c>
      <c r="J81" t="s">
        <v>179</v>
      </c>
      <c r="K81" s="4">
        <v>0.89511376619338989</v>
      </c>
      <c r="L81" t="s">
        <v>420</v>
      </c>
      <c r="M81">
        <v>0.54910755</v>
      </c>
      <c r="N81" t="s">
        <v>177</v>
      </c>
      <c r="O81">
        <v>0.22349169999999999</v>
      </c>
      <c r="P81" t="s">
        <v>274</v>
      </c>
      <c r="Q81" s="4">
        <v>6.3703449999999995E-2</v>
      </c>
      <c r="R81" t="s">
        <v>177</v>
      </c>
      <c r="S81">
        <v>0.43528554000000003</v>
      </c>
      <c r="T81" t="s">
        <v>274</v>
      </c>
      <c r="U81">
        <v>0.113552526</v>
      </c>
      <c r="V81" t="s">
        <v>275</v>
      </c>
      <c r="W81">
        <v>5.2216209999999999E-2</v>
      </c>
    </row>
    <row r="82" spans="1:23" x14ac:dyDescent="0.25">
      <c r="A82" s="3" t="str">
        <f>HYPERLINK("http://ids.si.edu/ids/deliveryService?id=NMAH-AHB2017q072413","NMAH-AHB2017q072413")</f>
        <v>NMAH-AHB2017q072413</v>
      </c>
      <c r="B82" s="3" t="s">
        <v>421</v>
      </c>
      <c r="C82" s="3">
        <v>1435457</v>
      </c>
      <c r="D82" s="3" t="s">
        <v>386</v>
      </c>
      <c r="E82" s="4" t="s">
        <v>422</v>
      </c>
      <c r="L82" t="s">
        <v>82</v>
      </c>
      <c r="M82">
        <v>0.94709706000000005</v>
      </c>
      <c r="N82" t="s">
        <v>260</v>
      </c>
      <c r="O82">
        <v>3.3520649999999999E-2</v>
      </c>
      <c r="P82" t="s">
        <v>141</v>
      </c>
      <c r="Q82" s="4">
        <v>1.1400769999999999E-2</v>
      </c>
      <c r="R82" t="s">
        <v>141</v>
      </c>
      <c r="S82">
        <v>0.14716713000000001</v>
      </c>
      <c r="T82" t="s">
        <v>82</v>
      </c>
      <c r="U82">
        <v>0.14244936</v>
      </c>
      <c r="V82" t="s">
        <v>183</v>
      </c>
      <c r="W82">
        <v>0.10739914</v>
      </c>
    </row>
    <row r="83" spans="1:23" x14ac:dyDescent="0.25">
      <c r="A83" s="3" t="str">
        <f>HYPERLINK("http://ids.si.edu/ids/deliveryService?id=NMAH-AHB2012q01687","NMAH-AHB2012q01687")</f>
        <v>NMAH-AHB2012q01687</v>
      </c>
      <c r="B83" s="3" t="s">
        <v>423</v>
      </c>
      <c r="C83" s="3">
        <v>669797</v>
      </c>
      <c r="D83" s="3" t="s">
        <v>424</v>
      </c>
      <c r="E83" s="4" t="s">
        <v>425</v>
      </c>
      <c r="F83" t="s">
        <v>61</v>
      </c>
      <c r="G83">
        <v>0.88115477561950684</v>
      </c>
      <c r="H83" t="s">
        <v>126</v>
      </c>
      <c r="I83">
        <v>0.86412310600280762</v>
      </c>
      <c r="J83" t="s">
        <v>62</v>
      </c>
      <c r="K83" s="4">
        <v>0.50218719244003296</v>
      </c>
      <c r="L83" t="s">
        <v>65</v>
      </c>
      <c r="M83">
        <v>0.95172180000000006</v>
      </c>
      <c r="N83" t="s">
        <v>29</v>
      </c>
      <c r="O83">
        <v>1.6272314E-2</v>
      </c>
      <c r="P83" t="s">
        <v>426</v>
      </c>
      <c r="Q83" s="4">
        <v>9.6721169999999992E-3</v>
      </c>
      <c r="R83" t="s">
        <v>29</v>
      </c>
      <c r="S83">
        <v>0.42121546999999998</v>
      </c>
      <c r="T83" t="s">
        <v>65</v>
      </c>
      <c r="U83">
        <v>0.22101631999999999</v>
      </c>
      <c r="V83" t="s">
        <v>129</v>
      </c>
      <c r="W83">
        <v>9.5835240000000002E-2</v>
      </c>
    </row>
    <row r="84" spans="1:23" x14ac:dyDescent="0.25">
      <c r="A84" s="3" t="str">
        <f>HYPERLINK("http://ids.si.edu/ids/deliveryService?id=NMAH-AHB2017q008621","NMAH-AHB2017q008621")</f>
        <v>NMAH-AHB2017q008621</v>
      </c>
      <c r="B84" s="3" t="s">
        <v>427</v>
      </c>
      <c r="C84" s="3">
        <v>374560</v>
      </c>
      <c r="D84" s="3" t="s">
        <v>424</v>
      </c>
      <c r="E84" s="4" t="s">
        <v>59</v>
      </c>
      <c r="F84" t="s">
        <v>60</v>
      </c>
      <c r="G84">
        <v>0.9744490385055542</v>
      </c>
      <c r="H84" t="s">
        <v>428</v>
      </c>
      <c r="I84">
        <v>0.87193304300308228</v>
      </c>
      <c r="J84" t="s">
        <v>429</v>
      </c>
      <c r="K84" s="4">
        <v>0.84337562322616577</v>
      </c>
      <c r="L84" t="s">
        <v>411</v>
      </c>
      <c r="M84">
        <v>0.17722002000000001</v>
      </c>
      <c r="N84" t="s">
        <v>161</v>
      </c>
      <c r="O84">
        <v>0.13647866</v>
      </c>
      <c r="P84" t="s">
        <v>430</v>
      </c>
      <c r="Q84" s="4">
        <v>0.10702855999999999</v>
      </c>
      <c r="R84" t="s">
        <v>29</v>
      </c>
      <c r="S84">
        <v>0.32558959999999998</v>
      </c>
      <c r="T84" t="s">
        <v>65</v>
      </c>
      <c r="U84">
        <v>0.104611255</v>
      </c>
      <c r="V84" t="s">
        <v>411</v>
      </c>
      <c r="W84">
        <v>5.8148525999999999E-2</v>
      </c>
    </row>
    <row r="85" spans="1:23" x14ac:dyDescent="0.25">
      <c r="A85" s="3" t="str">
        <f>HYPERLINK("http://ids.si.edu/ids/deliveryService?id=NMAH-83-16664","NMAH-83-16664")</f>
        <v>NMAH-83-16664</v>
      </c>
      <c r="B85" s="3" t="s">
        <v>431</v>
      </c>
      <c r="C85" s="3">
        <v>605701</v>
      </c>
      <c r="D85" s="3" t="s">
        <v>424</v>
      </c>
      <c r="E85" s="4" t="s">
        <v>432</v>
      </c>
      <c r="F85" t="s">
        <v>433</v>
      </c>
      <c r="G85">
        <v>0.98392027616500854</v>
      </c>
      <c r="H85" t="s">
        <v>434</v>
      </c>
      <c r="I85">
        <v>0.97888046503067017</v>
      </c>
      <c r="J85" t="s">
        <v>435</v>
      </c>
      <c r="K85" s="4">
        <v>0.95065045356750488</v>
      </c>
      <c r="L85" t="s">
        <v>277</v>
      </c>
      <c r="M85">
        <v>9.7340720000000006E-2</v>
      </c>
      <c r="N85" t="s">
        <v>314</v>
      </c>
      <c r="O85">
        <v>8.9410859999999995E-2</v>
      </c>
      <c r="P85" t="s">
        <v>436</v>
      </c>
      <c r="Q85" s="4">
        <v>5.8108224999999999E-2</v>
      </c>
      <c r="R85" t="s">
        <v>436</v>
      </c>
      <c r="S85">
        <v>0.30464619999999998</v>
      </c>
      <c r="T85" t="s">
        <v>437</v>
      </c>
      <c r="U85">
        <v>0.16622128</v>
      </c>
      <c r="V85" t="s">
        <v>314</v>
      </c>
      <c r="W85">
        <v>9.8105449999999997E-2</v>
      </c>
    </row>
    <row r="86" spans="1:23" x14ac:dyDescent="0.25">
      <c r="A86" s="3" t="str">
        <f>HYPERLINK("http://ids.si.edu/ids/deliveryService?id=NMAH-AHB2006q23455","NMAH-AHB2006q23455")</f>
        <v>NMAH-AHB2006q23455</v>
      </c>
      <c r="B86" s="3" t="s">
        <v>438</v>
      </c>
      <c r="C86" s="3">
        <v>666384</v>
      </c>
      <c r="D86" s="3" t="s">
        <v>424</v>
      </c>
      <c r="E86" s="4" t="s">
        <v>425</v>
      </c>
      <c r="F86" t="s">
        <v>439</v>
      </c>
      <c r="G86">
        <v>0.79161351919174194</v>
      </c>
      <c r="H86" t="s">
        <v>440</v>
      </c>
      <c r="I86">
        <v>0.73490536212921143</v>
      </c>
      <c r="J86" t="s">
        <v>441</v>
      </c>
      <c r="K86" s="4">
        <v>0.71206289529800415</v>
      </c>
      <c r="L86" t="s">
        <v>442</v>
      </c>
      <c r="M86">
        <v>0.43982599999999999</v>
      </c>
      <c r="N86" t="s">
        <v>443</v>
      </c>
      <c r="O86">
        <v>0.11195508999999999</v>
      </c>
      <c r="P86" t="s">
        <v>303</v>
      </c>
      <c r="Q86" s="4">
        <v>6.0512163000000001E-2</v>
      </c>
      <c r="R86" t="s">
        <v>444</v>
      </c>
      <c r="S86">
        <v>0.12134006999999999</v>
      </c>
      <c r="T86" t="s">
        <v>445</v>
      </c>
      <c r="U86">
        <v>8.5258719999999996E-2</v>
      </c>
      <c r="V86" t="s">
        <v>303</v>
      </c>
      <c r="W86">
        <v>6.7898050000000001E-2</v>
      </c>
    </row>
    <row r="87" spans="1:23" x14ac:dyDescent="0.25">
      <c r="A87" s="3" t="str">
        <f>HYPERLINK("http://ids.si.edu/ids/deliveryService?id=NMAH-AHB2006q25440","NMAH-AHB2006q25440")</f>
        <v>NMAH-AHB2006q25440</v>
      </c>
      <c r="B87" s="3" t="s">
        <v>446</v>
      </c>
      <c r="C87" s="3">
        <v>1214383</v>
      </c>
      <c r="D87" s="3" t="s">
        <v>424</v>
      </c>
      <c r="E87" s="4" t="s">
        <v>425</v>
      </c>
      <c r="F87" t="s">
        <v>61</v>
      </c>
      <c r="G87">
        <v>0.88115477561950684</v>
      </c>
      <c r="H87" t="s">
        <v>112</v>
      </c>
      <c r="I87">
        <v>0.74956268072128296</v>
      </c>
      <c r="J87" t="s">
        <v>447</v>
      </c>
      <c r="K87" s="4">
        <v>0.53288841247558594</v>
      </c>
      <c r="L87" t="s">
        <v>65</v>
      </c>
      <c r="M87">
        <v>0.53063500000000008</v>
      </c>
      <c r="N87" t="s">
        <v>209</v>
      </c>
      <c r="O87">
        <v>0.15174165000000001</v>
      </c>
      <c r="P87" t="s">
        <v>79</v>
      </c>
      <c r="Q87" s="4">
        <v>0.14673765999999999</v>
      </c>
      <c r="R87" t="s">
        <v>65</v>
      </c>
      <c r="S87">
        <v>0.42161559999999998</v>
      </c>
      <c r="T87" t="s">
        <v>79</v>
      </c>
      <c r="U87">
        <v>0.15887261999999999</v>
      </c>
      <c r="V87" t="s">
        <v>209</v>
      </c>
      <c r="W87">
        <v>0.14090375999999999</v>
      </c>
    </row>
    <row r="88" spans="1:23" x14ac:dyDescent="0.25">
      <c r="A88" s="3" t="str">
        <f>HYPERLINK("http://ids.si.edu/ids/deliveryService?id=NMAH-AHB2012q50134","NMAH-AHB2012q50134")</f>
        <v>NMAH-AHB2012q50134</v>
      </c>
      <c r="B88" s="3" t="s">
        <v>448</v>
      </c>
      <c r="C88" s="3">
        <v>669228</v>
      </c>
      <c r="D88" s="3" t="s">
        <v>424</v>
      </c>
      <c r="E88" s="4" t="s">
        <v>425</v>
      </c>
      <c r="F88" t="s">
        <v>62</v>
      </c>
      <c r="G88">
        <v>0.62534767389297485</v>
      </c>
      <c r="H88" t="s">
        <v>449</v>
      </c>
      <c r="I88">
        <v>0.60560357570648193</v>
      </c>
      <c r="J88" t="s">
        <v>311</v>
      </c>
      <c r="K88" s="4">
        <v>0.57658189535140991</v>
      </c>
      <c r="L88" t="s">
        <v>65</v>
      </c>
      <c r="M88">
        <v>0.82761954999999998</v>
      </c>
      <c r="N88" t="s">
        <v>129</v>
      </c>
      <c r="O88">
        <v>0.14409603000000001</v>
      </c>
      <c r="P88" t="s">
        <v>451</v>
      </c>
      <c r="Q88" s="4">
        <v>6.8129496999999994E-3</v>
      </c>
      <c r="R88" t="s">
        <v>65</v>
      </c>
      <c r="S88">
        <v>0.445884</v>
      </c>
      <c r="T88" t="s">
        <v>452</v>
      </c>
      <c r="U88">
        <v>6.0046043E-2</v>
      </c>
      <c r="V88" t="s">
        <v>129</v>
      </c>
      <c r="W88">
        <v>5.57326E-2</v>
      </c>
    </row>
    <row r="89" spans="1:23" x14ac:dyDescent="0.25">
      <c r="A89" s="3" t="str">
        <f>HYPERLINK("http://ids.si.edu/ids/deliveryService?id=NMAH-AHB2018q013061","NMAH-AHB2018q013061")</f>
        <v>NMAH-AHB2018q013061</v>
      </c>
      <c r="B89" s="3" t="s">
        <v>453</v>
      </c>
      <c r="C89" s="3">
        <v>1016850</v>
      </c>
      <c r="D89" s="3" t="s">
        <v>424</v>
      </c>
      <c r="E89" s="4" t="s">
        <v>425</v>
      </c>
      <c r="F89" t="s">
        <v>454</v>
      </c>
      <c r="G89">
        <v>0.97460716962814331</v>
      </c>
      <c r="H89" t="s">
        <v>455</v>
      </c>
      <c r="I89">
        <v>0.95570826530456543</v>
      </c>
      <c r="J89" t="s">
        <v>456</v>
      </c>
      <c r="K89" s="4">
        <v>0.95382940769195557</v>
      </c>
      <c r="L89" t="s">
        <v>29</v>
      </c>
      <c r="M89">
        <v>0.24893427000000001</v>
      </c>
      <c r="N89" t="s">
        <v>65</v>
      </c>
      <c r="O89">
        <v>0.17057309000000001</v>
      </c>
      <c r="P89" t="s">
        <v>144</v>
      </c>
      <c r="Q89" s="4">
        <v>0.10423633</v>
      </c>
      <c r="R89" t="s">
        <v>29</v>
      </c>
      <c r="S89">
        <v>0.37108554999999999</v>
      </c>
      <c r="T89" t="s">
        <v>66</v>
      </c>
      <c r="U89">
        <v>0.10072621</v>
      </c>
      <c r="V89" t="s">
        <v>275</v>
      </c>
      <c r="W89">
        <v>4.7930322999999997E-2</v>
      </c>
    </row>
    <row r="90" spans="1:23" x14ac:dyDescent="0.25">
      <c r="A90" s="3" t="str">
        <f>HYPERLINK("http://ids.si.edu/ids/deliveryService?id=NMAH-AHB2006q23855","NMAH-AHB2006q23855")</f>
        <v>NMAH-AHB2006q23855</v>
      </c>
      <c r="B90" s="3" t="s">
        <v>457</v>
      </c>
      <c r="C90" s="3">
        <v>672841</v>
      </c>
      <c r="D90" s="3" t="s">
        <v>424</v>
      </c>
      <c r="E90" s="4" t="s">
        <v>425</v>
      </c>
      <c r="F90" t="s">
        <v>440</v>
      </c>
      <c r="G90">
        <v>0.94472318887710571</v>
      </c>
      <c r="H90" t="s">
        <v>301</v>
      </c>
      <c r="I90">
        <v>0.54185628890991211</v>
      </c>
      <c r="J90" t="s">
        <v>458</v>
      </c>
      <c r="K90" s="4">
        <v>0.50708103179931641</v>
      </c>
      <c r="L90" t="s">
        <v>303</v>
      </c>
      <c r="M90">
        <v>0.69510335000000001</v>
      </c>
      <c r="N90" t="s">
        <v>459</v>
      </c>
      <c r="O90">
        <v>5.373269E-2</v>
      </c>
      <c r="P90" t="s">
        <v>460</v>
      </c>
      <c r="Q90" s="4">
        <v>3.6359139999999998E-2</v>
      </c>
      <c r="R90" t="s">
        <v>303</v>
      </c>
      <c r="S90">
        <v>0.58133495000000002</v>
      </c>
      <c r="T90" t="s">
        <v>459</v>
      </c>
      <c r="U90">
        <v>0.12867790000000001</v>
      </c>
      <c r="V90" t="s">
        <v>461</v>
      </c>
      <c r="W90">
        <v>3.1837124000000001E-2</v>
      </c>
    </row>
    <row r="91" spans="1:23" x14ac:dyDescent="0.25">
      <c r="A91" s="3" t="str">
        <f>HYPERLINK("http://ids.si.edu/ids/deliveryService?id=NMAH-AHB2017q009782","NMAH-AHB2017q009782")</f>
        <v>NMAH-AHB2017q009782</v>
      </c>
      <c r="B91" s="3" t="s">
        <v>462</v>
      </c>
      <c r="C91" s="3">
        <v>1807678</v>
      </c>
      <c r="D91" s="3" t="s">
        <v>424</v>
      </c>
      <c r="E91" s="4" t="s">
        <v>425</v>
      </c>
      <c r="F91" t="s">
        <v>455</v>
      </c>
      <c r="G91">
        <v>0.94169455766677856</v>
      </c>
      <c r="H91" t="s">
        <v>61</v>
      </c>
      <c r="I91">
        <v>0.90795594453811646</v>
      </c>
      <c r="J91" t="s">
        <v>463</v>
      </c>
      <c r="K91" s="4">
        <v>0.85040086507797241</v>
      </c>
      <c r="L91" t="s">
        <v>465</v>
      </c>
      <c r="M91">
        <v>0.42664902999999998</v>
      </c>
      <c r="N91" t="s">
        <v>29</v>
      </c>
      <c r="O91">
        <v>0.23456603000000001</v>
      </c>
      <c r="P91" t="s">
        <v>65</v>
      </c>
      <c r="Q91" s="4">
        <v>0.1941552</v>
      </c>
      <c r="R91" t="s">
        <v>29</v>
      </c>
      <c r="S91">
        <v>0.41859492999999998</v>
      </c>
      <c r="T91" t="s">
        <v>65</v>
      </c>
      <c r="U91">
        <v>9.3671800000000013E-2</v>
      </c>
      <c r="V91" t="s">
        <v>144</v>
      </c>
      <c r="W91">
        <v>7.7924090000000001E-2</v>
      </c>
    </row>
    <row r="92" spans="1:23" x14ac:dyDescent="0.25">
      <c r="A92" s="3" t="str">
        <f>HYPERLINK("http://ids.si.edu/ids/deliveryService?id=NMAH-AHB2006q22020","NMAH-AHB2006q22020")</f>
        <v>NMAH-AHB2006q22020</v>
      </c>
      <c r="B92" s="3" t="s">
        <v>466</v>
      </c>
      <c r="C92" s="3">
        <v>676261</v>
      </c>
      <c r="D92" s="3" t="s">
        <v>424</v>
      </c>
      <c r="E92" s="4" t="s">
        <v>425</v>
      </c>
      <c r="F92" t="s">
        <v>126</v>
      </c>
      <c r="G92">
        <v>0.86513841152191162</v>
      </c>
      <c r="H92" t="s">
        <v>311</v>
      </c>
      <c r="I92">
        <v>0.54518342018127441</v>
      </c>
      <c r="J92" t="s">
        <v>467</v>
      </c>
      <c r="K92" s="4">
        <v>0.53032636642456055</v>
      </c>
      <c r="L92" t="s">
        <v>65</v>
      </c>
      <c r="M92">
        <v>0.93903060000000005</v>
      </c>
      <c r="N92" t="s">
        <v>129</v>
      </c>
      <c r="O92">
        <v>3.2089204000000003E-2</v>
      </c>
      <c r="P92" t="s">
        <v>79</v>
      </c>
      <c r="Q92" s="4">
        <v>1.1253492E-2</v>
      </c>
      <c r="R92" t="s">
        <v>65</v>
      </c>
      <c r="S92">
        <v>0.81457734000000004</v>
      </c>
      <c r="T92" t="s">
        <v>129</v>
      </c>
      <c r="U92">
        <v>8.8734045999999997E-2</v>
      </c>
      <c r="V92" t="s">
        <v>209</v>
      </c>
      <c r="W92">
        <v>4.1798275000000003E-2</v>
      </c>
    </row>
    <row r="93" spans="1:23" x14ac:dyDescent="0.25">
      <c r="A93" s="3" t="str">
        <f>HYPERLINK("http://ids.si.edu/ids/deliveryService?id=NMAH-2001-8540","NMAH-2001-8540")</f>
        <v>NMAH-2001-8540</v>
      </c>
      <c r="B93" s="3" t="s">
        <v>468</v>
      </c>
      <c r="C93" s="3">
        <v>892847</v>
      </c>
      <c r="D93" s="3" t="s">
        <v>424</v>
      </c>
      <c r="E93" s="4" t="s">
        <v>469</v>
      </c>
      <c r="F93" t="s">
        <v>91</v>
      </c>
      <c r="G93">
        <v>0.91031128168106079</v>
      </c>
      <c r="H93" t="s">
        <v>470</v>
      </c>
      <c r="I93">
        <v>0.86416709423065186</v>
      </c>
      <c r="J93" t="s">
        <v>471</v>
      </c>
      <c r="K93" s="4">
        <v>0.72240382432937622</v>
      </c>
      <c r="L93" t="s">
        <v>460</v>
      </c>
      <c r="M93">
        <v>0.49788597000000001</v>
      </c>
      <c r="N93" t="s">
        <v>79</v>
      </c>
      <c r="O93">
        <v>0.11736149</v>
      </c>
      <c r="P93" t="s">
        <v>226</v>
      </c>
      <c r="Q93" s="4">
        <v>0.10459153</v>
      </c>
      <c r="R93" t="s">
        <v>93</v>
      </c>
      <c r="S93">
        <v>0.25696736999999997</v>
      </c>
      <c r="T93" t="s">
        <v>95</v>
      </c>
      <c r="U93">
        <v>0.121299006</v>
      </c>
      <c r="V93" t="s">
        <v>460</v>
      </c>
      <c r="W93">
        <v>0.11211212</v>
      </c>
    </row>
    <row r="94" spans="1:23" x14ac:dyDescent="0.25">
      <c r="A94" s="3" t="str">
        <f>HYPERLINK("http://ids.si.edu/ids/deliveryService?id=NMAH-JN2017-00253-000001","NMAH-JN2017-00253-000001")</f>
        <v>NMAH-JN2017-00253-000001</v>
      </c>
      <c r="B94" s="3" t="s">
        <v>472</v>
      </c>
      <c r="C94" s="3">
        <v>1194337</v>
      </c>
      <c r="D94" s="3" t="s">
        <v>424</v>
      </c>
      <c r="E94" s="4" t="s">
        <v>473</v>
      </c>
      <c r="F94" t="s">
        <v>474</v>
      </c>
      <c r="G94">
        <v>0.79417341947555542</v>
      </c>
      <c r="H94" t="s">
        <v>475</v>
      </c>
      <c r="I94">
        <v>0.75756418704986572</v>
      </c>
      <c r="J94" t="s">
        <v>476</v>
      </c>
      <c r="K94" s="4">
        <v>0.74264383316040039</v>
      </c>
      <c r="L94" t="s">
        <v>464</v>
      </c>
      <c r="M94">
        <v>0.76072269999999997</v>
      </c>
      <c r="N94" t="s">
        <v>477</v>
      </c>
      <c r="O94">
        <v>4.4345845000000002E-2</v>
      </c>
      <c r="P94" t="s">
        <v>30</v>
      </c>
      <c r="Q94" s="4">
        <v>4.1184249999999999E-2</v>
      </c>
      <c r="R94" t="s">
        <v>464</v>
      </c>
      <c r="S94">
        <v>0.37366812999999999</v>
      </c>
      <c r="T94" t="s">
        <v>478</v>
      </c>
      <c r="U94">
        <v>0.15930966999999999</v>
      </c>
      <c r="V94" t="s">
        <v>312</v>
      </c>
      <c r="W94">
        <v>6.6251379999999999E-2</v>
      </c>
    </row>
    <row r="95" spans="1:23" x14ac:dyDescent="0.25">
      <c r="A95" s="3" t="str">
        <f>HYPERLINK("http://ids.si.edu/ids/deliveryService?id=NMAH-AHB2017q074756","NMAH-AHB2017q074756")</f>
        <v>NMAH-AHB2017q074756</v>
      </c>
      <c r="B95" s="3" t="s">
        <v>479</v>
      </c>
      <c r="C95" s="3">
        <v>605992</v>
      </c>
      <c r="D95" s="3" t="s">
        <v>424</v>
      </c>
      <c r="E95" s="4" t="s">
        <v>480</v>
      </c>
      <c r="F95" t="s">
        <v>230</v>
      </c>
      <c r="G95">
        <v>0.74611592292785645</v>
      </c>
      <c r="H95" t="s">
        <v>433</v>
      </c>
      <c r="I95">
        <v>0.71196913719177246</v>
      </c>
      <c r="J95" t="s">
        <v>256</v>
      </c>
      <c r="K95" s="4">
        <v>0.65348172187805176</v>
      </c>
      <c r="L95" t="s">
        <v>481</v>
      </c>
      <c r="M95">
        <v>0.76631342999999996</v>
      </c>
      <c r="N95" t="s">
        <v>182</v>
      </c>
      <c r="O95">
        <v>0.12818968</v>
      </c>
      <c r="P95" t="s">
        <v>390</v>
      </c>
      <c r="Q95" s="4">
        <v>2.7032252E-2</v>
      </c>
      <c r="R95" t="s">
        <v>481</v>
      </c>
      <c r="S95">
        <v>0.63179510000000005</v>
      </c>
      <c r="T95" t="s">
        <v>182</v>
      </c>
      <c r="U95">
        <v>0.23875223000000001</v>
      </c>
      <c r="V95" t="s">
        <v>482</v>
      </c>
      <c r="W95">
        <v>1.3768571E-2</v>
      </c>
    </row>
    <row r="96" spans="1:23" x14ac:dyDescent="0.25">
      <c r="A96" s="3" t="str">
        <f>HYPERLINK("http://ids.si.edu/ids/deliveryService?id=NMAH-AHB2006q23148","NMAH-AHB2006q23148")</f>
        <v>NMAH-AHB2006q23148</v>
      </c>
      <c r="B96" s="3" t="s">
        <v>483</v>
      </c>
      <c r="C96" s="3">
        <v>668436</v>
      </c>
      <c r="D96" s="3" t="s">
        <v>424</v>
      </c>
      <c r="E96" s="4" t="s">
        <v>425</v>
      </c>
      <c r="F96" t="s">
        <v>455</v>
      </c>
      <c r="G96">
        <v>0.91022008657455444</v>
      </c>
      <c r="H96" t="s">
        <v>61</v>
      </c>
      <c r="I96">
        <v>0.88115477561950684</v>
      </c>
      <c r="J96" t="s">
        <v>62</v>
      </c>
      <c r="K96" s="4">
        <v>0.5813031792640686</v>
      </c>
      <c r="L96" t="s">
        <v>65</v>
      </c>
      <c r="M96">
        <v>0.84162540000000008</v>
      </c>
      <c r="N96" t="s">
        <v>129</v>
      </c>
      <c r="O96">
        <v>0.11097621000000001</v>
      </c>
      <c r="P96" t="s">
        <v>484</v>
      </c>
      <c r="Q96" s="4">
        <v>8.0225774999999992E-3</v>
      </c>
      <c r="R96" t="s">
        <v>65</v>
      </c>
      <c r="S96">
        <v>0.77941479999999996</v>
      </c>
      <c r="T96" t="s">
        <v>129</v>
      </c>
      <c r="U96">
        <v>0.11845724000000001</v>
      </c>
      <c r="V96" t="s">
        <v>426</v>
      </c>
      <c r="W96">
        <v>1.8218715E-2</v>
      </c>
    </row>
    <row r="97" spans="1:23" x14ac:dyDescent="0.25">
      <c r="A97" s="3" t="str">
        <f>HYPERLINK("http://ids.si.edu/ids/deliveryService?id=NMAH-AHB2006q22312","NMAH-AHB2006q22312")</f>
        <v>NMAH-AHB2006q22312</v>
      </c>
      <c r="B97" s="3" t="s">
        <v>485</v>
      </c>
      <c r="C97" s="3">
        <v>668295</v>
      </c>
      <c r="D97" s="3" t="s">
        <v>424</v>
      </c>
      <c r="E97" s="4" t="s">
        <v>425</v>
      </c>
      <c r="F97" t="s">
        <v>486</v>
      </c>
      <c r="G97">
        <v>0.64164412021636963</v>
      </c>
      <c r="L97" t="s">
        <v>65</v>
      </c>
      <c r="M97">
        <v>0.877359</v>
      </c>
      <c r="N97" t="s">
        <v>129</v>
      </c>
      <c r="O97">
        <v>5.5748414000000003E-2</v>
      </c>
      <c r="P97" t="s">
        <v>209</v>
      </c>
      <c r="Q97" s="4">
        <v>3.0308123999999999E-2</v>
      </c>
      <c r="R97" t="s">
        <v>65</v>
      </c>
      <c r="S97">
        <v>0.70351280000000005</v>
      </c>
      <c r="T97" t="s">
        <v>129</v>
      </c>
      <c r="U97">
        <v>0.10662711</v>
      </c>
      <c r="V97" t="s">
        <v>209</v>
      </c>
      <c r="W97">
        <v>1.8425311999999999E-2</v>
      </c>
    </row>
    <row r="98" spans="1:23" x14ac:dyDescent="0.25">
      <c r="A98" s="3" t="str">
        <f>HYPERLINK("http://ids.si.edu/ids/deliveryService?id=NMAH-AHB2012q50287","NMAH-AHB2012q50287")</f>
        <v>NMAH-AHB2012q50287</v>
      </c>
      <c r="B98" s="3" t="s">
        <v>487</v>
      </c>
      <c r="C98" s="3">
        <v>670269</v>
      </c>
      <c r="D98" s="3" t="s">
        <v>424</v>
      </c>
      <c r="E98" s="4" t="s">
        <v>425</v>
      </c>
      <c r="F98" t="s">
        <v>488</v>
      </c>
      <c r="G98">
        <v>0.86122018098831177</v>
      </c>
      <c r="H98" t="s">
        <v>61</v>
      </c>
      <c r="I98">
        <v>0.85248786211013794</v>
      </c>
      <c r="J98" t="s">
        <v>489</v>
      </c>
      <c r="K98" s="4">
        <v>0.78509539365768433</v>
      </c>
      <c r="L98" t="s">
        <v>490</v>
      </c>
      <c r="M98">
        <v>0.43968013</v>
      </c>
      <c r="N98" t="s">
        <v>491</v>
      </c>
      <c r="O98">
        <v>5.9234585999999999E-2</v>
      </c>
      <c r="P98" t="s">
        <v>197</v>
      </c>
      <c r="Q98" s="4">
        <v>2.6973306999999998E-2</v>
      </c>
      <c r="R98" t="s">
        <v>490</v>
      </c>
      <c r="S98">
        <v>0.68477315000000005</v>
      </c>
      <c r="T98" t="s">
        <v>492</v>
      </c>
      <c r="U98">
        <v>1.6247616999999999E-2</v>
      </c>
      <c r="V98" t="s">
        <v>493</v>
      </c>
      <c r="W98">
        <v>1.4816081E-2</v>
      </c>
    </row>
    <row r="99" spans="1:23" x14ac:dyDescent="0.25">
      <c r="A99" s="3" t="str">
        <f>HYPERLINK("http://ids.si.edu/ids/deliveryService?id=NMAH-79-1909-000001","NMAH-79-1909-000001")</f>
        <v>NMAH-79-1909-000001</v>
      </c>
      <c r="B99" s="3" t="s">
        <v>494</v>
      </c>
      <c r="C99" s="3">
        <v>606595</v>
      </c>
      <c r="D99" s="3" t="s">
        <v>424</v>
      </c>
      <c r="E99" s="4" t="s">
        <v>214</v>
      </c>
      <c r="F99" t="s">
        <v>91</v>
      </c>
      <c r="G99">
        <v>0.93479853868484497</v>
      </c>
      <c r="L99" t="s">
        <v>141</v>
      </c>
      <c r="M99">
        <v>0.49126147999999997</v>
      </c>
      <c r="N99" t="s">
        <v>87</v>
      </c>
      <c r="O99">
        <v>5.7613153E-2</v>
      </c>
      <c r="P99" t="s">
        <v>495</v>
      </c>
      <c r="Q99" s="4">
        <v>4.9392980000000003E-2</v>
      </c>
      <c r="R99" t="s">
        <v>141</v>
      </c>
      <c r="S99">
        <v>0.74764370000000002</v>
      </c>
      <c r="T99" t="s">
        <v>495</v>
      </c>
      <c r="U99">
        <v>5.2787609999999999E-2</v>
      </c>
      <c r="V99" t="s">
        <v>239</v>
      </c>
      <c r="W99">
        <v>2.0483423000000001E-2</v>
      </c>
    </row>
    <row r="100" spans="1:23" x14ac:dyDescent="0.25">
      <c r="A100" s="3" t="str">
        <f>HYPERLINK("http://ids.si.edu/ids/deliveryService?id=NMAH-AHB2006q24469","NMAH-AHB2006q24469")</f>
        <v>NMAH-AHB2006q24469</v>
      </c>
      <c r="B100" s="3" t="s">
        <v>496</v>
      </c>
      <c r="C100" s="3">
        <v>1213248</v>
      </c>
      <c r="D100" s="3" t="s">
        <v>424</v>
      </c>
      <c r="E100" s="4" t="s">
        <v>425</v>
      </c>
      <c r="F100" t="s">
        <v>132</v>
      </c>
      <c r="G100">
        <v>0.83633017539978027</v>
      </c>
      <c r="H100" t="s">
        <v>301</v>
      </c>
      <c r="I100">
        <v>0.82424366474151611</v>
      </c>
      <c r="J100" t="s">
        <v>497</v>
      </c>
      <c r="K100" s="4">
        <v>0.74877619743347168</v>
      </c>
      <c r="L100" t="s">
        <v>66</v>
      </c>
      <c r="M100">
        <v>0.43862915000000002</v>
      </c>
      <c r="N100" t="s">
        <v>65</v>
      </c>
      <c r="O100">
        <v>0.18355331999999999</v>
      </c>
      <c r="P100" t="s">
        <v>253</v>
      </c>
      <c r="Q100" s="4">
        <v>7.2485394999999994E-2</v>
      </c>
      <c r="R100" t="s">
        <v>66</v>
      </c>
      <c r="S100">
        <v>0.32346143999999999</v>
      </c>
      <c r="T100" t="s">
        <v>369</v>
      </c>
      <c r="U100">
        <v>0.114398114</v>
      </c>
      <c r="V100" t="s">
        <v>499</v>
      </c>
      <c r="W100">
        <v>5.5982075999999999E-2</v>
      </c>
    </row>
    <row r="101" spans="1:23" x14ac:dyDescent="0.25">
      <c r="A101" s="3" t="str">
        <f>HYPERLINK("http://ids.si.edu/ids/deliveryService?id=NMAH-AHB2006q23659","NMAH-AHB2006q23659")</f>
        <v>NMAH-AHB2006q23659</v>
      </c>
      <c r="B101" s="3" t="s">
        <v>500</v>
      </c>
      <c r="C101" s="3">
        <v>674521</v>
      </c>
      <c r="D101" s="3" t="s">
        <v>424</v>
      </c>
      <c r="E101" s="4" t="s">
        <v>425</v>
      </c>
      <c r="F101" t="s">
        <v>440</v>
      </c>
      <c r="G101">
        <v>0.92447632551193237</v>
      </c>
      <c r="H101" t="s">
        <v>458</v>
      </c>
      <c r="I101">
        <v>0.55984491109848022</v>
      </c>
      <c r="J101" t="s">
        <v>301</v>
      </c>
      <c r="K101" s="4">
        <v>0.54185628890991211</v>
      </c>
      <c r="L101" t="s">
        <v>303</v>
      </c>
      <c r="M101">
        <v>0.88209057000000002</v>
      </c>
      <c r="N101" t="s">
        <v>149</v>
      </c>
      <c r="O101">
        <v>9.7527869999999989E-3</v>
      </c>
      <c r="P101" t="s">
        <v>501</v>
      </c>
      <c r="Q101" s="4">
        <v>9.1922159999999996E-3</v>
      </c>
      <c r="R101" t="s">
        <v>303</v>
      </c>
      <c r="S101">
        <v>0.36871391999999997</v>
      </c>
      <c r="T101" t="s">
        <v>502</v>
      </c>
      <c r="U101">
        <v>7.5323224000000008E-2</v>
      </c>
      <c r="V101" t="s">
        <v>233</v>
      </c>
      <c r="W101">
        <v>6.1376615999999988E-2</v>
      </c>
    </row>
    <row r="102" spans="1:23" x14ac:dyDescent="0.25">
      <c r="A102" s="3" t="str">
        <f>HYPERLINK("http://ids.si.edu/ids/deliveryService?id=NMAH-JN2015-7696-000001","NMAH-JN2015-7696-000001")</f>
        <v>NMAH-JN2015-7696-000001</v>
      </c>
      <c r="B102" s="3" t="s">
        <v>503</v>
      </c>
      <c r="C102" s="3">
        <v>662029</v>
      </c>
      <c r="D102" s="3" t="s">
        <v>424</v>
      </c>
      <c r="E102" s="4" t="s">
        <v>504</v>
      </c>
      <c r="F102" t="s">
        <v>311</v>
      </c>
      <c r="G102">
        <v>0.62255698442459106</v>
      </c>
      <c r="H102" t="s">
        <v>505</v>
      </c>
      <c r="I102">
        <v>0.5654761791229248</v>
      </c>
      <c r="J102" t="s">
        <v>506</v>
      </c>
      <c r="K102" s="4">
        <v>0.54007583856582642</v>
      </c>
      <c r="L102" t="s">
        <v>313</v>
      </c>
      <c r="M102">
        <v>0.12973560000000001</v>
      </c>
      <c r="N102" t="s">
        <v>35</v>
      </c>
      <c r="O102">
        <v>6.3452460000000002E-2</v>
      </c>
      <c r="P102" t="s">
        <v>411</v>
      </c>
      <c r="Q102" s="4">
        <v>3.6307085000000003E-2</v>
      </c>
      <c r="R102" t="s">
        <v>507</v>
      </c>
      <c r="S102">
        <v>0.92472819999999989</v>
      </c>
      <c r="T102" t="s">
        <v>240</v>
      </c>
      <c r="U102">
        <v>1.0733604000000001E-2</v>
      </c>
      <c r="V102" t="s">
        <v>508</v>
      </c>
      <c r="W102">
        <v>6.350474E-3</v>
      </c>
    </row>
    <row r="103" spans="1:23" x14ac:dyDescent="0.25">
      <c r="A103" s="3" t="str">
        <f>HYPERLINK("http://ids.si.edu/ids/deliveryService?id=NMAH-RWS2010-01342A-005","NMAH-RWS2010-01342A-005")</f>
        <v>NMAH-RWS2010-01342A-005</v>
      </c>
      <c r="B103" s="3" t="s">
        <v>509</v>
      </c>
      <c r="C103" s="3">
        <v>1197889</v>
      </c>
      <c r="D103" s="3" t="s">
        <v>424</v>
      </c>
      <c r="E103" s="4" t="s">
        <v>510</v>
      </c>
      <c r="F103" t="s">
        <v>101</v>
      </c>
      <c r="G103">
        <v>0.97279584407806396</v>
      </c>
      <c r="H103" t="s">
        <v>511</v>
      </c>
      <c r="I103">
        <v>0.9339180588722229</v>
      </c>
      <c r="J103" t="s">
        <v>292</v>
      </c>
      <c r="K103" s="4">
        <v>0.91536819934844971</v>
      </c>
      <c r="L103" t="s">
        <v>512</v>
      </c>
      <c r="M103">
        <v>0.83837569999999995</v>
      </c>
      <c r="N103" t="s">
        <v>513</v>
      </c>
      <c r="O103">
        <v>6.3568479999999997E-2</v>
      </c>
      <c r="P103" t="s">
        <v>221</v>
      </c>
      <c r="Q103" s="4">
        <v>2.5447296000000001E-2</v>
      </c>
      <c r="R103" t="s">
        <v>512</v>
      </c>
      <c r="S103">
        <v>0.61571830000000005</v>
      </c>
      <c r="T103" t="s">
        <v>513</v>
      </c>
      <c r="U103">
        <v>0.20508788999999999</v>
      </c>
      <c r="V103" t="s">
        <v>294</v>
      </c>
      <c r="W103">
        <v>6.9681350000000003E-2</v>
      </c>
    </row>
    <row r="104" spans="1:23" x14ac:dyDescent="0.25">
      <c r="A104" s="3" t="str">
        <f>HYPERLINK("http://ids.si.edu/ids/deliveryService?id=NMAH-AHB2014q008138","NMAH-AHB2014q008138")</f>
        <v>NMAH-AHB2014q008138</v>
      </c>
      <c r="B104" s="3" t="s">
        <v>514</v>
      </c>
      <c r="C104" s="3">
        <v>1462626</v>
      </c>
      <c r="D104" s="3" t="s">
        <v>424</v>
      </c>
      <c r="E104" s="4" t="s">
        <v>425</v>
      </c>
      <c r="F104" t="s">
        <v>61</v>
      </c>
      <c r="G104">
        <v>0.93966710567474365</v>
      </c>
      <c r="H104" t="s">
        <v>76</v>
      </c>
      <c r="I104">
        <v>0.86464601755142212</v>
      </c>
      <c r="J104" t="s">
        <v>112</v>
      </c>
      <c r="K104" s="4">
        <v>0.74956268072128296</v>
      </c>
      <c r="L104" t="s">
        <v>29</v>
      </c>
      <c r="M104">
        <v>0.79188544000000005</v>
      </c>
      <c r="N104" t="s">
        <v>66</v>
      </c>
      <c r="O104">
        <v>0.1667245</v>
      </c>
      <c r="P104" t="s">
        <v>65</v>
      </c>
      <c r="Q104" s="4">
        <v>1.1167108E-2</v>
      </c>
      <c r="R104" t="s">
        <v>29</v>
      </c>
      <c r="S104">
        <v>0.53950150000000008</v>
      </c>
      <c r="T104" t="s">
        <v>66</v>
      </c>
      <c r="U104">
        <v>0.36817689999999997</v>
      </c>
      <c r="V104" t="s">
        <v>79</v>
      </c>
      <c r="W104">
        <v>1.5856934999999999E-2</v>
      </c>
    </row>
    <row r="105" spans="1:23" x14ac:dyDescent="0.25">
      <c r="A105" s="3" t="str">
        <f>HYPERLINK("http://ids.si.edu/ids/deliveryService?id=NMAH-AHB2006q23769","NMAH-AHB2006q23769")</f>
        <v>NMAH-AHB2006q23769</v>
      </c>
      <c r="B105" s="3" t="s">
        <v>515</v>
      </c>
      <c r="C105" s="3">
        <v>665286</v>
      </c>
      <c r="D105" s="3" t="s">
        <v>424</v>
      </c>
      <c r="E105" s="4" t="s">
        <v>425</v>
      </c>
      <c r="F105" t="s">
        <v>440</v>
      </c>
      <c r="G105">
        <v>0.83960670232772827</v>
      </c>
      <c r="H105" t="s">
        <v>439</v>
      </c>
      <c r="I105">
        <v>0.79161351919174194</v>
      </c>
      <c r="J105" t="s">
        <v>441</v>
      </c>
      <c r="K105" s="4">
        <v>0.71206289529800415</v>
      </c>
      <c r="L105" t="s">
        <v>303</v>
      </c>
      <c r="M105">
        <v>0.75525459999999989</v>
      </c>
      <c r="N105" t="s">
        <v>516</v>
      </c>
      <c r="O105">
        <v>8.8534680000000004E-2</v>
      </c>
      <c r="P105" t="s">
        <v>442</v>
      </c>
      <c r="Q105" s="4">
        <v>2.8621064000000002E-2</v>
      </c>
      <c r="R105" t="s">
        <v>303</v>
      </c>
      <c r="S105">
        <v>0.14750388</v>
      </c>
      <c r="T105" t="s">
        <v>443</v>
      </c>
      <c r="U105">
        <v>0.14607252000000001</v>
      </c>
      <c r="V105" t="s">
        <v>516</v>
      </c>
      <c r="W105">
        <v>4.7497347000000002E-2</v>
      </c>
    </row>
    <row r="106" spans="1:23" x14ac:dyDescent="0.25">
      <c r="A106" s="3" t="str">
        <f>HYPERLINK("http://ids.si.edu/ids/deliveryService?id=NMAH-AHB2017q009902","NMAH-AHB2017q009902")</f>
        <v>NMAH-AHB2017q009902</v>
      </c>
      <c r="B106" s="3" t="s">
        <v>517</v>
      </c>
      <c r="C106" s="3">
        <v>1844267</v>
      </c>
      <c r="D106" s="3" t="s">
        <v>424</v>
      </c>
      <c r="E106" s="4" t="s">
        <v>518</v>
      </c>
      <c r="F106" t="s">
        <v>61</v>
      </c>
      <c r="G106">
        <v>0.86929196119308472</v>
      </c>
      <c r="H106" t="s">
        <v>519</v>
      </c>
      <c r="I106">
        <v>0.85599565505981445</v>
      </c>
      <c r="J106" t="s">
        <v>126</v>
      </c>
      <c r="K106" s="4">
        <v>0.8263859748840332</v>
      </c>
      <c r="L106" t="s">
        <v>65</v>
      </c>
      <c r="M106">
        <v>0.61773383999999998</v>
      </c>
      <c r="N106" t="s">
        <v>79</v>
      </c>
      <c r="O106">
        <v>7.1725689999999995E-2</v>
      </c>
      <c r="P106" t="s">
        <v>66</v>
      </c>
      <c r="Q106" s="4">
        <v>6.8810179999999999E-2</v>
      </c>
      <c r="R106" t="s">
        <v>190</v>
      </c>
      <c r="S106">
        <v>0.33805233000000001</v>
      </c>
      <c r="T106" t="s">
        <v>65</v>
      </c>
      <c r="U106">
        <v>0.13075792999999999</v>
      </c>
      <c r="V106" t="s">
        <v>66</v>
      </c>
      <c r="W106">
        <v>7.5916979999999995E-2</v>
      </c>
    </row>
    <row r="107" spans="1:23" x14ac:dyDescent="0.25">
      <c r="A107" s="3" t="str">
        <f>HYPERLINK("http://ids.si.edu/ids/deliveryService?id=NMAH-AHB2013q104508","NMAH-AHB2013q104508")</f>
        <v>NMAH-AHB2013q104508</v>
      </c>
      <c r="B107" s="3" t="s">
        <v>520</v>
      </c>
      <c r="C107" s="3">
        <v>667500</v>
      </c>
      <c r="D107" s="3" t="s">
        <v>424</v>
      </c>
      <c r="E107" s="4" t="s">
        <v>521</v>
      </c>
      <c r="F107" t="s">
        <v>61</v>
      </c>
      <c r="G107">
        <v>0.90795594453811646</v>
      </c>
      <c r="L107" t="s">
        <v>253</v>
      </c>
      <c r="M107">
        <v>0.28253567000000002</v>
      </c>
      <c r="N107" t="s">
        <v>152</v>
      </c>
      <c r="O107">
        <v>0.11210489</v>
      </c>
      <c r="P107" t="s">
        <v>363</v>
      </c>
      <c r="Q107" s="4">
        <v>8.6470549999999993E-2</v>
      </c>
      <c r="R107" t="s">
        <v>253</v>
      </c>
      <c r="S107">
        <v>0.39028566999999997</v>
      </c>
      <c r="T107" t="s">
        <v>152</v>
      </c>
      <c r="U107">
        <v>0.22374868000000001</v>
      </c>
      <c r="V107" t="s">
        <v>209</v>
      </c>
      <c r="W107">
        <v>5.9831526000000003E-2</v>
      </c>
    </row>
    <row r="108" spans="1:23" x14ac:dyDescent="0.25">
      <c r="A108" s="3" t="str">
        <f>HYPERLINK("http://ids.si.edu/ids/deliveryService?id=NMAH-JN2017-00647-000001","NMAH-JN2017-00647-000001")</f>
        <v>NMAH-JN2017-00647-000001</v>
      </c>
      <c r="B108" s="3" t="s">
        <v>522</v>
      </c>
      <c r="C108" s="3">
        <v>1829754</v>
      </c>
      <c r="D108" s="3" t="s">
        <v>424</v>
      </c>
      <c r="E108" s="4" t="s">
        <v>425</v>
      </c>
      <c r="F108" t="s">
        <v>440</v>
      </c>
      <c r="G108">
        <v>0.83664268255233765</v>
      </c>
      <c r="L108" t="s">
        <v>303</v>
      </c>
      <c r="M108">
        <v>0.67014010000000002</v>
      </c>
      <c r="N108" t="s">
        <v>459</v>
      </c>
      <c r="O108">
        <v>0.14163674000000001</v>
      </c>
      <c r="P108" t="s">
        <v>523</v>
      </c>
      <c r="Q108" s="4">
        <v>5.5669499999999997E-2</v>
      </c>
      <c r="R108" t="s">
        <v>523</v>
      </c>
      <c r="S108">
        <v>0.19496530000000001</v>
      </c>
      <c r="T108" t="s">
        <v>459</v>
      </c>
      <c r="U108">
        <v>0.11264883000000001</v>
      </c>
      <c r="V108" t="s">
        <v>303</v>
      </c>
      <c r="W108">
        <v>9.9994730000000004E-2</v>
      </c>
    </row>
    <row r="109" spans="1:23" x14ac:dyDescent="0.25">
      <c r="A109" s="3" t="str">
        <f>HYPERLINK("http://ids.si.edu/ids/deliveryService?id=NMAH-AHB2006q24260","NMAH-AHB2006q24260")</f>
        <v>NMAH-AHB2006q24260</v>
      </c>
      <c r="B109" s="3" t="s">
        <v>524</v>
      </c>
      <c r="C109" s="3">
        <v>1216043</v>
      </c>
      <c r="D109" s="3" t="s">
        <v>424</v>
      </c>
      <c r="E109" s="4" t="s">
        <v>425</v>
      </c>
      <c r="F109" t="s">
        <v>525</v>
      </c>
      <c r="G109">
        <v>0.67516446113586426</v>
      </c>
      <c r="H109" t="s">
        <v>62</v>
      </c>
      <c r="I109">
        <v>0.5813031792640686</v>
      </c>
      <c r="J109" t="s">
        <v>264</v>
      </c>
      <c r="K109" s="4">
        <v>0.54705351591110229</v>
      </c>
      <c r="L109" t="s">
        <v>65</v>
      </c>
      <c r="M109">
        <v>0.30835269999999998</v>
      </c>
      <c r="N109" t="s">
        <v>79</v>
      </c>
      <c r="O109">
        <v>0.14424413</v>
      </c>
      <c r="P109" t="s">
        <v>460</v>
      </c>
      <c r="Q109" s="4">
        <v>0.13809244000000001</v>
      </c>
      <c r="R109" t="s">
        <v>65</v>
      </c>
      <c r="S109">
        <v>0.39171152999999997</v>
      </c>
      <c r="T109" t="s">
        <v>43</v>
      </c>
      <c r="U109">
        <v>0.14034265000000001</v>
      </c>
      <c r="V109" t="s">
        <v>426</v>
      </c>
      <c r="W109">
        <v>6.1680230000000003E-2</v>
      </c>
    </row>
    <row r="110" spans="1:23" x14ac:dyDescent="0.25">
      <c r="A110" s="3" t="str">
        <f>HYPERLINK("http://ids.si.edu/ids/deliveryService?id=NMAH-AHB2006q25359","NMAH-AHB2006q25359")</f>
        <v>NMAH-AHB2006q25359</v>
      </c>
      <c r="B110" s="3" t="s">
        <v>526</v>
      </c>
      <c r="C110" s="3">
        <v>672197</v>
      </c>
      <c r="D110" s="3" t="s">
        <v>424</v>
      </c>
      <c r="E110" s="4" t="s">
        <v>425</v>
      </c>
      <c r="F110" t="s">
        <v>440</v>
      </c>
      <c r="G110">
        <v>0.81909865140914917</v>
      </c>
      <c r="H110" t="s">
        <v>441</v>
      </c>
      <c r="I110">
        <v>0.6757805347442627</v>
      </c>
      <c r="J110" t="s">
        <v>439</v>
      </c>
      <c r="K110" s="4">
        <v>0.62164807319641113</v>
      </c>
      <c r="L110" t="s">
        <v>303</v>
      </c>
      <c r="M110">
        <v>0.98214066</v>
      </c>
      <c r="N110" t="s">
        <v>459</v>
      </c>
      <c r="O110">
        <v>2.3191399999999999E-3</v>
      </c>
      <c r="P110" t="s">
        <v>444</v>
      </c>
      <c r="Q110" s="4">
        <v>2.1452894E-3</v>
      </c>
      <c r="R110" t="s">
        <v>303</v>
      </c>
      <c r="S110">
        <v>0.66440177</v>
      </c>
      <c r="T110" t="s">
        <v>233</v>
      </c>
      <c r="U110">
        <v>3.8371425000000001E-2</v>
      </c>
      <c r="V110" t="s">
        <v>459</v>
      </c>
      <c r="W110">
        <v>3.4875511999999997E-2</v>
      </c>
    </row>
    <row r="111" spans="1:23" x14ac:dyDescent="0.25">
      <c r="A111" s="3" t="str">
        <f>HYPERLINK("http://ids.si.edu/ids/deliveryService?id=NMAH-AHB2012q50169","NMAH-AHB2012q50169")</f>
        <v>NMAH-AHB2012q50169</v>
      </c>
      <c r="B111" s="3" t="s">
        <v>527</v>
      </c>
      <c r="C111" s="3">
        <v>672954</v>
      </c>
      <c r="D111" s="3" t="s">
        <v>424</v>
      </c>
      <c r="E111" s="4" t="s">
        <v>425</v>
      </c>
      <c r="F111" t="s">
        <v>441</v>
      </c>
      <c r="G111">
        <v>0.6757805347442627</v>
      </c>
      <c r="H111" t="s">
        <v>440</v>
      </c>
      <c r="I111">
        <v>0.61782753467559814</v>
      </c>
      <c r="J111" t="s">
        <v>301</v>
      </c>
      <c r="K111" s="4">
        <v>0.6113276481628418</v>
      </c>
      <c r="L111" t="s">
        <v>303</v>
      </c>
      <c r="M111">
        <v>0.73788710000000002</v>
      </c>
      <c r="N111" t="s">
        <v>528</v>
      </c>
      <c r="O111">
        <v>0.18021275</v>
      </c>
      <c r="P111" t="s">
        <v>529</v>
      </c>
      <c r="Q111" s="4">
        <v>5.8691992999999998E-2</v>
      </c>
      <c r="R111" t="s">
        <v>303</v>
      </c>
      <c r="S111">
        <v>0.31616222999999999</v>
      </c>
      <c r="T111" t="s">
        <v>528</v>
      </c>
      <c r="U111">
        <v>0.12050585</v>
      </c>
      <c r="V111" t="s">
        <v>459</v>
      </c>
      <c r="W111">
        <v>5.3627077000000002E-2</v>
      </c>
    </row>
    <row r="112" spans="1:23" x14ac:dyDescent="0.25">
      <c r="A112" s="3" t="str">
        <f>HYPERLINK("http://ids.si.edu/ids/deliveryService?id=NMAH-AHB2016q047335","NMAH-AHB2016q047335")</f>
        <v>NMAH-AHB2016q047335</v>
      </c>
      <c r="B112" s="3" t="s">
        <v>530</v>
      </c>
      <c r="C112" s="3">
        <v>1457330</v>
      </c>
      <c r="D112" s="3" t="s">
        <v>424</v>
      </c>
      <c r="E112" s="4" t="s">
        <v>531</v>
      </c>
      <c r="F112" t="s">
        <v>61</v>
      </c>
      <c r="G112">
        <v>0.85248786211013794</v>
      </c>
      <c r="H112" t="s">
        <v>112</v>
      </c>
      <c r="I112">
        <v>0.68572378158569336</v>
      </c>
      <c r="J112" t="s">
        <v>532</v>
      </c>
      <c r="K112" s="4">
        <v>0.52902686595916748</v>
      </c>
      <c r="L112" t="s">
        <v>151</v>
      </c>
      <c r="M112">
        <v>0.48034297999999997</v>
      </c>
      <c r="N112" t="s">
        <v>370</v>
      </c>
      <c r="O112">
        <v>0.32387766000000001</v>
      </c>
      <c r="P112" t="s">
        <v>93</v>
      </c>
      <c r="Q112" s="4">
        <v>4.0671837000000002E-2</v>
      </c>
      <c r="R112" t="s">
        <v>370</v>
      </c>
      <c r="S112">
        <v>0.20719351</v>
      </c>
      <c r="T112" t="s">
        <v>151</v>
      </c>
      <c r="U112">
        <v>7.5531654000000004E-2</v>
      </c>
      <c r="V112" t="s">
        <v>183</v>
      </c>
      <c r="W112">
        <v>4.5791140000000001E-2</v>
      </c>
    </row>
    <row r="113" spans="1:23" x14ac:dyDescent="0.25">
      <c r="A113" s="3" t="str">
        <f>HYPERLINK("http://ids.si.edu/ids/deliveryService?id=NMAH-79-1916-000001","NMAH-79-1916-000001")</f>
        <v>NMAH-79-1916-000001</v>
      </c>
      <c r="B113" s="3" t="s">
        <v>533</v>
      </c>
      <c r="C113" s="3">
        <v>606513</v>
      </c>
      <c r="D113" s="3" t="s">
        <v>424</v>
      </c>
      <c r="E113" s="4" t="s">
        <v>214</v>
      </c>
      <c r="F113" t="s">
        <v>534</v>
      </c>
      <c r="G113">
        <v>0.82871490716934204</v>
      </c>
      <c r="H113" t="s">
        <v>535</v>
      </c>
      <c r="I113">
        <v>0.81794774532318115</v>
      </c>
      <c r="J113" t="s">
        <v>433</v>
      </c>
      <c r="K113" s="4">
        <v>0.81157410144805908</v>
      </c>
      <c r="L113" t="s">
        <v>536</v>
      </c>
      <c r="M113">
        <v>0.77470340000000004</v>
      </c>
      <c r="N113" t="s">
        <v>215</v>
      </c>
      <c r="O113">
        <v>0.21655466000000001</v>
      </c>
      <c r="P113" t="s">
        <v>214</v>
      </c>
      <c r="Q113" s="4">
        <v>4.091356E-3</v>
      </c>
      <c r="R113" t="s">
        <v>536</v>
      </c>
      <c r="S113">
        <v>0.60958325999999996</v>
      </c>
      <c r="T113" t="s">
        <v>215</v>
      </c>
      <c r="U113">
        <v>0.27832180000000001</v>
      </c>
      <c r="V113" t="s">
        <v>79</v>
      </c>
      <c r="W113">
        <v>2.3926312000000002E-2</v>
      </c>
    </row>
    <row r="114" spans="1:23" x14ac:dyDescent="0.25">
      <c r="A114" s="3" t="str">
        <f>HYPERLINK("http://ids.si.edu/ids/deliveryService?id=NMAH-ET2010-32680-009","NMAH-ET2010-32680-009")</f>
        <v>NMAH-ET2010-32680-009</v>
      </c>
      <c r="B114" s="3" t="s">
        <v>537</v>
      </c>
      <c r="C114" s="3">
        <v>1294163</v>
      </c>
      <c r="D114" s="3" t="s">
        <v>424</v>
      </c>
      <c r="E114" s="4" t="s">
        <v>538</v>
      </c>
      <c r="F114" t="s">
        <v>525</v>
      </c>
      <c r="G114">
        <v>0.81968832015991211</v>
      </c>
      <c r="H114" t="s">
        <v>265</v>
      </c>
      <c r="I114">
        <v>0.78654766082763672</v>
      </c>
      <c r="J114" t="s">
        <v>264</v>
      </c>
      <c r="K114" s="4">
        <v>0.77451711893081665</v>
      </c>
      <c r="L114" t="s">
        <v>65</v>
      </c>
      <c r="M114">
        <v>0.48127878000000002</v>
      </c>
      <c r="N114" t="s">
        <v>66</v>
      </c>
      <c r="O114">
        <v>5.4897309999999998E-2</v>
      </c>
      <c r="P114" t="s">
        <v>369</v>
      </c>
      <c r="Q114" s="4">
        <v>4.0803357999999998E-2</v>
      </c>
      <c r="R114" t="s">
        <v>65</v>
      </c>
      <c r="S114">
        <v>0.64399640000000002</v>
      </c>
      <c r="T114" t="s">
        <v>66</v>
      </c>
      <c r="U114">
        <v>0.14263376999999999</v>
      </c>
      <c r="V114" t="s">
        <v>29</v>
      </c>
      <c r="W114">
        <v>7.3895870000000002E-2</v>
      </c>
    </row>
    <row r="115" spans="1:23" x14ac:dyDescent="0.25">
      <c r="A115" s="3" t="str">
        <f>HYPERLINK("http://ids.si.edu/ids/deliveryService?id=NMAH-ET2012-15014","NMAH-ET2012-15014")</f>
        <v>NMAH-ET2012-15014</v>
      </c>
      <c r="B115" s="3" t="s">
        <v>539</v>
      </c>
      <c r="C115" s="3">
        <v>1250787</v>
      </c>
      <c r="D115" s="3" t="s">
        <v>424</v>
      </c>
      <c r="E115" s="4" t="s">
        <v>540</v>
      </c>
      <c r="F115" t="s">
        <v>91</v>
      </c>
      <c r="G115">
        <v>0.88283330202102661</v>
      </c>
      <c r="H115" t="s">
        <v>541</v>
      </c>
      <c r="I115">
        <v>0.75620657205581665</v>
      </c>
      <c r="J115" t="s">
        <v>467</v>
      </c>
      <c r="K115" s="4">
        <v>0.56558191776275635</v>
      </c>
      <c r="L115" t="s">
        <v>209</v>
      </c>
      <c r="M115">
        <v>0.12158324600000001</v>
      </c>
      <c r="N115" t="s">
        <v>312</v>
      </c>
      <c r="O115">
        <v>4.7731889999999999E-2</v>
      </c>
      <c r="P115" t="s">
        <v>79</v>
      </c>
      <c r="Q115" s="4">
        <v>3.9962789999999998E-2</v>
      </c>
      <c r="R115" t="s">
        <v>148</v>
      </c>
      <c r="S115">
        <v>0.37240701999999998</v>
      </c>
      <c r="T115" t="s">
        <v>185</v>
      </c>
      <c r="U115">
        <v>0.25285365999999998</v>
      </c>
      <c r="V115" t="s">
        <v>209</v>
      </c>
      <c r="W115">
        <v>7.2845049999999995E-2</v>
      </c>
    </row>
    <row r="116" spans="1:23" x14ac:dyDescent="0.25">
      <c r="A116" s="3" t="str">
        <f>HYPERLINK("http://ids.si.edu/ids/deliveryService?id=NMAH-AHB2016q043620","NMAH-AHB2016q043620")</f>
        <v>NMAH-AHB2016q043620</v>
      </c>
      <c r="B116" s="3" t="s">
        <v>542</v>
      </c>
      <c r="C116" s="3">
        <v>606204</v>
      </c>
      <c r="D116" s="3" t="s">
        <v>424</v>
      </c>
      <c r="E116" s="4" t="s">
        <v>174</v>
      </c>
      <c r="F116" t="s">
        <v>543</v>
      </c>
      <c r="G116">
        <v>0.99254214763641357</v>
      </c>
      <c r="H116" t="s">
        <v>433</v>
      </c>
      <c r="I116">
        <v>0.9811597466468811</v>
      </c>
      <c r="J116" t="s">
        <v>535</v>
      </c>
      <c r="K116" s="4">
        <v>0.94960606098175049</v>
      </c>
      <c r="L116" t="s">
        <v>174</v>
      </c>
      <c r="M116">
        <v>0.95088240000000002</v>
      </c>
      <c r="N116" t="s">
        <v>544</v>
      </c>
      <c r="O116">
        <v>2.0277558000000001E-2</v>
      </c>
      <c r="P116" t="s">
        <v>545</v>
      </c>
      <c r="Q116" s="4">
        <v>7.4403289999999999E-3</v>
      </c>
      <c r="R116" t="s">
        <v>174</v>
      </c>
      <c r="S116">
        <v>0.94006467000000005</v>
      </c>
      <c r="T116" t="s">
        <v>544</v>
      </c>
      <c r="U116">
        <v>3.5860043000000001E-2</v>
      </c>
      <c r="V116" t="s">
        <v>545</v>
      </c>
      <c r="W116">
        <v>8.7680420000000002E-3</v>
      </c>
    </row>
    <row r="117" spans="1:23" x14ac:dyDescent="0.25">
      <c r="A117" s="3" t="str">
        <f>HYPERLINK("http://ids.si.edu/ids/deliveryService?id=NMAH-ET2013-38524","NMAH-ET2013-38524")</f>
        <v>NMAH-ET2013-38524</v>
      </c>
      <c r="B117" s="3" t="s">
        <v>546</v>
      </c>
      <c r="C117" s="3">
        <v>1333043</v>
      </c>
      <c r="D117" s="3" t="s">
        <v>424</v>
      </c>
      <c r="E117" s="4" t="s">
        <v>547</v>
      </c>
      <c r="F117" t="s">
        <v>179</v>
      </c>
      <c r="G117">
        <v>0.7669406533241272</v>
      </c>
      <c r="H117" t="s">
        <v>178</v>
      </c>
      <c r="I117">
        <v>0.71430087089538574</v>
      </c>
      <c r="J117" t="s">
        <v>506</v>
      </c>
      <c r="K117" s="4">
        <v>0.57946717739105225</v>
      </c>
      <c r="L117" t="s">
        <v>548</v>
      </c>
      <c r="M117">
        <v>0.13839807000000001</v>
      </c>
      <c r="N117" t="s">
        <v>29</v>
      </c>
      <c r="O117">
        <v>8.7714269999999997E-2</v>
      </c>
      <c r="P117" t="s">
        <v>159</v>
      </c>
      <c r="Q117" s="4">
        <v>5.6869727000000002E-2</v>
      </c>
      <c r="R117" t="s">
        <v>159</v>
      </c>
      <c r="S117">
        <v>0.18730313000000001</v>
      </c>
      <c r="T117" t="s">
        <v>148</v>
      </c>
      <c r="U117">
        <v>0.12304754599999999</v>
      </c>
      <c r="V117" t="s">
        <v>549</v>
      </c>
      <c r="W117">
        <v>7.6130524000000005E-2</v>
      </c>
    </row>
    <row r="118" spans="1:23" x14ac:dyDescent="0.25">
      <c r="A118" s="3" t="str">
        <f>HYPERLINK("http://ids.si.edu/ids/deliveryService?id=NMAH-90-16952","NMAH-90-16952")</f>
        <v>NMAH-90-16952</v>
      </c>
      <c r="B118" s="3" t="s">
        <v>550</v>
      </c>
      <c r="C118" s="3">
        <v>606932</v>
      </c>
      <c r="D118" s="3" t="s">
        <v>424</v>
      </c>
      <c r="E118" s="4" t="s">
        <v>492</v>
      </c>
      <c r="F118" t="s">
        <v>551</v>
      </c>
      <c r="G118">
        <v>0.97668641805648804</v>
      </c>
      <c r="H118" t="s">
        <v>434</v>
      </c>
      <c r="I118">
        <v>0.96081238985061646</v>
      </c>
      <c r="J118" t="s">
        <v>488</v>
      </c>
      <c r="K118" s="4">
        <v>0.94731032848358154</v>
      </c>
      <c r="L118" t="s">
        <v>492</v>
      </c>
      <c r="M118">
        <v>0.60768306000000005</v>
      </c>
      <c r="N118" t="s">
        <v>552</v>
      </c>
      <c r="O118">
        <v>0.20649876</v>
      </c>
      <c r="P118" t="s">
        <v>451</v>
      </c>
      <c r="Q118" s="4">
        <v>0.12854098</v>
      </c>
      <c r="R118" t="s">
        <v>492</v>
      </c>
      <c r="S118">
        <v>0.78503690000000004</v>
      </c>
      <c r="T118" t="s">
        <v>552</v>
      </c>
      <c r="U118">
        <v>0.12878275</v>
      </c>
      <c r="V118" t="s">
        <v>451</v>
      </c>
      <c r="W118">
        <v>6.3506019999999996E-2</v>
      </c>
    </row>
    <row r="119" spans="1:23" x14ac:dyDescent="0.25">
      <c r="A119" s="3" t="str">
        <f>HYPERLINK("http://ids.si.edu/ids/deliveryService?id=NMAH-AHB2016q041965","NMAH-AHB2016q041965")</f>
        <v>NMAH-AHB2016q041965</v>
      </c>
      <c r="B119" s="3" t="s">
        <v>553</v>
      </c>
      <c r="C119" s="3">
        <v>1452993</v>
      </c>
      <c r="D119" s="3" t="s">
        <v>424</v>
      </c>
      <c r="E119" s="4" t="s">
        <v>214</v>
      </c>
      <c r="L119" t="s">
        <v>214</v>
      </c>
      <c r="M119">
        <v>0.16537963999999999</v>
      </c>
      <c r="N119" t="s">
        <v>82</v>
      </c>
      <c r="O119">
        <v>6.2274672000000003E-2</v>
      </c>
      <c r="P119" t="s">
        <v>151</v>
      </c>
      <c r="Q119" s="4">
        <v>5.2698395999999988E-2</v>
      </c>
      <c r="R119" t="s">
        <v>554</v>
      </c>
      <c r="S119">
        <v>9.1760600000000012E-2</v>
      </c>
      <c r="T119" t="s">
        <v>370</v>
      </c>
      <c r="U119">
        <v>5.8219105E-2</v>
      </c>
      <c r="V119" t="s">
        <v>555</v>
      </c>
      <c r="W119">
        <v>5.8028784000000007E-2</v>
      </c>
    </row>
    <row r="120" spans="1:23" x14ac:dyDescent="0.25">
      <c r="A120" s="3" t="str">
        <f>HYPERLINK("http://ids.si.edu/ids/deliveryService?id=NMAH-AHB2017q005561","NMAH-AHB2017q005561")</f>
        <v>NMAH-AHB2017q005561</v>
      </c>
      <c r="B120" s="3" t="s">
        <v>556</v>
      </c>
      <c r="C120" s="3">
        <v>1412592</v>
      </c>
      <c r="D120" s="3" t="s">
        <v>424</v>
      </c>
      <c r="E120" s="4" t="s">
        <v>557</v>
      </c>
      <c r="F120" t="s">
        <v>558</v>
      </c>
      <c r="G120">
        <v>0.79676586389541626</v>
      </c>
      <c r="H120" t="s">
        <v>328</v>
      </c>
      <c r="I120">
        <v>0.78445613384246826</v>
      </c>
      <c r="J120" t="s">
        <v>256</v>
      </c>
      <c r="K120" s="4">
        <v>0.65348172187805176</v>
      </c>
      <c r="L120" t="s">
        <v>559</v>
      </c>
      <c r="M120">
        <v>0.117126204</v>
      </c>
      <c r="N120" t="s">
        <v>93</v>
      </c>
      <c r="O120">
        <v>6.9075175000000003E-2</v>
      </c>
      <c r="P120" t="s">
        <v>560</v>
      </c>
      <c r="Q120" s="4">
        <v>6.6390790000000005E-2</v>
      </c>
      <c r="R120" t="s">
        <v>53</v>
      </c>
      <c r="S120">
        <v>0.26068370000000002</v>
      </c>
      <c r="T120" t="s">
        <v>389</v>
      </c>
      <c r="U120">
        <v>0.21643385000000001</v>
      </c>
      <c r="V120" t="s">
        <v>560</v>
      </c>
      <c r="W120">
        <v>0.11700487</v>
      </c>
    </row>
    <row r="121" spans="1:23" x14ac:dyDescent="0.25">
      <c r="A121" s="3" t="str">
        <f>HYPERLINK("http://ids.si.edu/ids/deliveryService?id=NMAH-AHB2017q008589","NMAH-AHB2017q008589")</f>
        <v>NMAH-AHB2017q008589</v>
      </c>
      <c r="B121" s="3" t="s">
        <v>561</v>
      </c>
      <c r="C121" s="3">
        <v>374551</v>
      </c>
      <c r="D121" s="3" t="s">
        <v>424</v>
      </c>
      <c r="E121" s="4" t="s">
        <v>59</v>
      </c>
      <c r="F121" t="s">
        <v>264</v>
      </c>
      <c r="G121">
        <v>0.80591863393783569</v>
      </c>
      <c r="H121" t="s">
        <v>62</v>
      </c>
      <c r="I121">
        <v>0.78147250413894653</v>
      </c>
      <c r="J121" t="s">
        <v>562</v>
      </c>
      <c r="K121" s="4">
        <v>0.59900021553039551</v>
      </c>
      <c r="L121" t="s">
        <v>65</v>
      </c>
      <c r="M121">
        <v>0.95190590000000008</v>
      </c>
      <c r="N121" t="s">
        <v>79</v>
      </c>
      <c r="O121">
        <v>1.7347708E-2</v>
      </c>
      <c r="P121" t="s">
        <v>426</v>
      </c>
      <c r="Q121" s="4">
        <v>7.3017663999999996E-3</v>
      </c>
      <c r="R121" t="s">
        <v>65</v>
      </c>
      <c r="S121">
        <v>0.32739731999999999</v>
      </c>
      <c r="T121" t="s">
        <v>144</v>
      </c>
      <c r="U121">
        <v>0.110875234</v>
      </c>
      <c r="V121" t="s">
        <v>563</v>
      </c>
      <c r="W121">
        <v>4.7581296000000002E-2</v>
      </c>
    </row>
    <row r="122" spans="1:23" x14ac:dyDescent="0.25">
      <c r="A122" s="3" t="str">
        <f>HYPERLINK("http://ids.si.edu/ids/deliveryService?id=NMAH-MAH-56493","NMAH-MAH-56493")</f>
        <v>NMAH-MAH-56493</v>
      </c>
      <c r="B122" s="3" t="s">
        <v>564</v>
      </c>
      <c r="C122" s="3">
        <v>605886</v>
      </c>
      <c r="D122" s="3" t="s">
        <v>424</v>
      </c>
      <c r="E122" s="4" t="s">
        <v>565</v>
      </c>
      <c r="F122" t="s">
        <v>91</v>
      </c>
      <c r="G122">
        <v>0.88283330202102661</v>
      </c>
      <c r="H122" t="s">
        <v>419</v>
      </c>
      <c r="I122">
        <v>0.85694080591201782</v>
      </c>
      <c r="J122" t="s">
        <v>178</v>
      </c>
      <c r="K122" s="4">
        <v>0.83189153671264648</v>
      </c>
      <c r="L122" t="s">
        <v>390</v>
      </c>
      <c r="M122">
        <v>0.26799869999999998</v>
      </c>
      <c r="N122" t="s">
        <v>177</v>
      </c>
      <c r="O122">
        <v>6.9968730000000007E-2</v>
      </c>
      <c r="P122" t="s">
        <v>182</v>
      </c>
      <c r="Q122" s="4">
        <v>6.8195229999999996E-2</v>
      </c>
      <c r="R122" t="s">
        <v>566</v>
      </c>
      <c r="S122">
        <v>0.31674790000000003</v>
      </c>
      <c r="T122" t="s">
        <v>392</v>
      </c>
      <c r="U122">
        <v>0.18540325999999999</v>
      </c>
      <c r="V122" t="s">
        <v>177</v>
      </c>
      <c r="W122">
        <v>7.310472400000001E-2</v>
      </c>
    </row>
    <row r="123" spans="1:23" x14ac:dyDescent="0.25">
      <c r="A123" s="3" t="str">
        <f>HYPERLINK("http://ids.si.edu/ids/deliveryService?id=NMAH-78-10696","NMAH-78-10696")</f>
        <v>NMAH-78-10696</v>
      </c>
      <c r="B123" s="3" t="s">
        <v>567</v>
      </c>
      <c r="C123" s="3">
        <v>606326</v>
      </c>
      <c r="D123" s="3" t="s">
        <v>424</v>
      </c>
      <c r="E123" s="4" t="s">
        <v>568</v>
      </c>
      <c r="F123" t="s">
        <v>434</v>
      </c>
      <c r="G123">
        <v>0.99027717113494873</v>
      </c>
      <c r="H123" t="s">
        <v>433</v>
      </c>
      <c r="I123">
        <v>0.98997634649276733</v>
      </c>
      <c r="J123" t="s">
        <v>434</v>
      </c>
      <c r="K123" s="4">
        <v>0.98659098148345947</v>
      </c>
      <c r="L123" t="s">
        <v>568</v>
      </c>
      <c r="M123">
        <v>0.99943510000000002</v>
      </c>
      <c r="N123" t="s">
        <v>436</v>
      </c>
      <c r="O123">
        <v>1.4247857E-4</v>
      </c>
      <c r="P123" t="s">
        <v>189</v>
      </c>
      <c r="Q123" s="4">
        <v>6.9350425999999997E-5</v>
      </c>
      <c r="R123" t="s">
        <v>568</v>
      </c>
      <c r="S123">
        <v>0.91626905999999997</v>
      </c>
      <c r="T123" t="s">
        <v>436</v>
      </c>
      <c r="U123">
        <v>5.5280022000000012E-2</v>
      </c>
      <c r="V123" t="s">
        <v>437</v>
      </c>
      <c r="W123">
        <v>1.1094904500000001E-2</v>
      </c>
    </row>
    <row r="124" spans="1:23" x14ac:dyDescent="0.25">
      <c r="A124" s="3" t="str">
        <f>HYPERLINK("http://ids.si.edu/ids/deliveryService?id=NMAH-AHB2012q01921","NMAH-AHB2012q01921")</f>
        <v>NMAH-AHB2012q01921</v>
      </c>
      <c r="B124" s="3" t="s">
        <v>569</v>
      </c>
      <c r="C124" s="3">
        <v>1155470</v>
      </c>
      <c r="D124" s="3" t="s">
        <v>424</v>
      </c>
      <c r="E124" s="4" t="s">
        <v>425</v>
      </c>
      <c r="F124" t="s">
        <v>301</v>
      </c>
      <c r="G124">
        <v>0.64550173282623291</v>
      </c>
      <c r="L124" t="s">
        <v>570</v>
      </c>
      <c r="M124">
        <v>0.32939878</v>
      </c>
      <c r="N124" t="s">
        <v>571</v>
      </c>
      <c r="O124">
        <v>0.14588949000000001</v>
      </c>
      <c r="P124" t="s">
        <v>516</v>
      </c>
      <c r="Q124" s="4">
        <v>0.12975481</v>
      </c>
      <c r="R124" t="s">
        <v>258</v>
      </c>
      <c r="S124">
        <v>0.15717448000000001</v>
      </c>
      <c r="T124" t="s">
        <v>529</v>
      </c>
      <c r="U124">
        <v>8.6864750000000004E-2</v>
      </c>
      <c r="V124" t="s">
        <v>572</v>
      </c>
      <c r="W124">
        <v>7.4790419999999996E-2</v>
      </c>
    </row>
    <row r="125" spans="1:23" x14ac:dyDescent="0.25">
      <c r="A125" s="3" t="str">
        <f>HYPERLINK("http://ids.si.edu/ids/deliveryService?id=NMAH-MAH-59614","NMAH-MAH-59614")</f>
        <v>NMAH-MAH-59614</v>
      </c>
      <c r="B125" s="3" t="s">
        <v>573</v>
      </c>
      <c r="C125" s="3">
        <v>606439</v>
      </c>
      <c r="D125" s="3" t="s">
        <v>424</v>
      </c>
      <c r="E125" s="4" t="s">
        <v>189</v>
      </c>
      <c r="F125" t="s">
        <v>574</v>
      </c>
      <c r="G125">
        <v>0.58619159460067749</v>
      </c>
      <c r="H125" t="s">
        <v>50</v>
      </c>
      <c r="I125">
        <v>0.5114516019821167</v>
      </c>
      <c r="L125" t="s">
        <v>189</v>
      </c>
      <c r="M125">
        <v>0.96746130000000008</v>
      </c>
      <c r="N125" t="s">
        <v>575</v>
      </c>
      <c r="O125">
        <v>6.0952920000000004E-3</v>
      </c>
      <c r="P125" t="s">
        <v>568</v>
      </c>
      <c r="Q125" s="4">
        <v>3.1269370000000002E-3</v>
      </c>
      <c r="R125" t="s">
        <v>189</v>
      </c>
      <c r="S125">
        <v>0.96500419999999998</v>
      </c>
      <c r="T125" t="s">
        <v>379</v>
      </c>
      <c r="U125">
        <v>2.1690119000000001E-2</v>
      </c>
      <c r="V125" t="s">
        <v>575</v>
      </c>
      <c r="W125">
        <v>2.9937744E-3</v>
      </c>
    </row>
    <row r="126" spans="1:23" x14ac:dyDescent="0.25">
      <c r="A126" s="3" t="str">
        <f>HYPERLINK("http://ids.si.edu/ids/deliveryService?id=NMAH-AHB2017q072928","NMAH-AHB2017q072928")</f>
        <v>NMAH-AHB2017q072928</v>
      </c>
      <c r="B126" s="3" t="s">
        <v>576</v>
      </c>
      <c r="C126" s="3">
        <v>1849691</v>
      </c>
      <c r="D126" s="3" t="s">
        <v>424</v>
      </c>
      <c r="E126" s="4" t="s">
        <v>577</v>
      </c>
      <c r="L126" t="s">
        <v>83</v>
      </c>
      <c r="M126">
        <v>0.21670233</v>
      </c>
      <c r="N126" t="s">
        <v>239</v>
      </c>
      <c r="O126">
        <v>0.14737296</v>
      </c>
      <c r="P126" t="s">
        <v>141</v>
      </c>
      <c r="Q126" s="4">
        <v>0.12561986999999999</v>
      </c>
      <c r="R126" t="s">
        <v>84</v>
      </c>
      <c r="S126">
        <v>0.43326680000000001</v>
      </c>
      <c r="T126" t="s">
        <v>159</v>
      </c>
      <c r="U126">
        <v>0.3653054</v>
      </c>
      <c r="V126" t="s">
        <v>82</v>
      </c>
      <c r="W126">
        <v>2.2673775E-2</v>
      </c>
    </row>
    <row r="127" spans="1:23" x14ac:dyDescent="0.25">
      <c r="A127" s="3" t="str">
        <f>HYPERLINK("http://ids.si.edu/ids/deliveryService?id=NMAH-AHB2016q043580","NMAH-AHB2016q043580")</f>
        <v>NMAH-AHB2016q043580</v>
      </c>
      <c r="B127" s="3" t="s">
        <v>578</v>
      </c>
      <c r="C127" s="3">
        <v>606349</v>
      </c>
      <c r="D127" s="3" t="s">
        <v>424</v>
      </c>
      <c r="E127" s="4" t="s">
        <v>174</v>
      </c>
      <c r="F127" t="s">
        <v>61</v>
      </c>
      <c r="G127">
        <v>0.89013081789016724</v>
      </c>
      <c r="H127" t="s">
        <v>112</v>
      </c>
      <c r="I127">
        <v>0.88236397504806519</v>
      </c>
      <c r="J127" t="s">
        <v>543</v>
      </c>
      <c r="K127" s="4">
        <v>0.72807115316390991</v>
      </c>
      <c r="L127" t="s">
        <v>544</v>
      </c>
      <c r="M127">
        <v>0.52155954000000004</v>
      </c>
      <c r="N127" t="s">
        <v>174</v>
      </c>
      <c r="O127">
        <v>0.45128822000000002</v>
      </c>
      <c r="P127" t="s">
        <v>545</v>
      </c>
      <c r="Q127" s="4">
        <v>2.2336136999999999E-2</v>
      </c>
      <c r="R127" t="s">
        <v>174</v>
      </c>
      <c r="S127">
        <v>0.39133375999999997</v>
      </c>
      <c r="T127" t="s">
        <v>544</v>
      </c>
      <c r="U127">
        <v>0.21833037999999999</v>
      </c>
      <c r="V127" t="s">
        <v>545</v>
      </c>
      <c r="W127">
        <v>0.12039171</v>
      </c>
    </row>
    <row r="128" spans="1:23" x14ac:dyDescent="0.25">
      <c r="A128" s="3" t="str">
        <f>HYPERLINK("http://ids.si.edu/ids/deliveryService?id=NMAH-AHB2012q32788","NMAH-AHB2012q32788")</f>
        <v>NMAH-AHB2012q32788</v>
      </c>
      <c r="B128" s="3" t="s">
        <v>579</v>
      </c>
      <c r="C128" s="3">
        <v>1022315</v>
      </c>
      <c r="D128" s="3" t="s">
        <v>424</v>
      </c>
      <c r="E128" s="4" t="s">
        <v>580</v>
      </c>
      <c r="F128" t="s">
        <v>581</v>
      </c>
      <c r="G128">
        <v>0.93717288970947266</v>
      </c>
      <c r="H128" t="s">
        <v>582</v>
      </c>
      <c r="I128">
        <v>0.93686330318450928</v>
      </c>
      <c r="J128" t="s">
        <v>583</v>
      </c>
      <c r="K128" s="4">
        <v>0.76134693622589111</v>
      </c>
      <c r="L128" t="s">
        <v>580</v>
      </c>
      <c r="M128">
        <v>1</v>
      </c>
      <c r="N128" t="s">
        <v>584</v>
      </c>
      <c r="O128">
        <v>3.5458004999999997E-8</v>
      </c>
      <c r="P128" t="s">
        <v>585</v>
      </c>
      <c r="Q128" s="4">
        <v>6.7484439999999997E-10</v>
      </c>
      <c r="R128" t="s">
        <v>580</v>
      </c>
      <c r="S128">
        <v>0.99889769999999989</v>
      </c>
      <c r="T128" t="s">
        <v>302</v>
      </c>
      <c r="U128">
        <v>4.4207079999999998E-4</v>
      </c>
      <c r="V128" t="s">
        <v>586</v>
      </c>
      <c r="W128">
        <v>3.6005180000000001E-4</v>
      </c>
    </row>
    <row r="129" spans="1:23" x14ac:dyDescent="0.25">
      <c r="A129" s="3" t="str">
        <f>HYPERLINK("http://ids.si.edu/ids/deliveryService?id=NMAH-ET2013-37557","NMAH-ET2013-37557")</f>
        <v>NMAH-ET2013-37557</v>
      </c>
      <c r="B129" s="3" t="s">
        <v>587</v>
      </c>
      <c r="C129" s="3">
        <v>682797</v>
      </c>
      <c r="D129" s="3" t="s">
        <v>424</v>
      </c>
      <c r="E129" s="4" t="s">
        <v>588</v>
      </c>
      <c r="F129" t="s">
        <v>589</v>
      </c>
      <c r="G129">
        <v>0.97766470909118652</v>
      </c>
      <c r="H129" t="s">
        <v>590</v>
      </c>
      <c r="I129">
        <v>0.97020924091339111</v>
      </c>
      <c r="J129" t="s">
        <v>591</v>
      </c>
      <c r="K129" s="4">
        <v>0.96453672647476196</v>
      </c>
      <c r="L129" t="s">
        <v>159</v>
      </c>
      <c r="M129">
        <v>0.64691156000000005</v>
      </c>
      <c r="N129" t="s">
        <v>35</v>
      </c>
      <c r="O129">
        <v>0.10654001</v>
      </c>
      <c r="P129" t="s">
        <v>87</v>
      </c>
      <c r="Q129" s="4">
        <v>7.1759399999999987E-2</v>
      </c>
      <c r="R129" t="s">
        <v>82</v>
      </c>
      <c r="S129">
        <v>0.24965235999999999</v>
      </c>
      <c r="T129" t="s">
        <v>83</v>
      </c>
      <c r="U129">
        <v>0.22583977999999999</v>
      </c>
      <c r="V129" t="s">
        <v>159</v>
      </c>
      <c r="W129">
        <v>0.10148659</v>
      </c>
    </row>
    <row r="130" spans="1:23" x14ac:dyDescent="0.25">
      <c r="A130" s="3" t="str">
        <f>HYPERLINK("http://ids.si.edu/ids/deliveryService?id=NMAH-AHB2006q23695","NMAH-AHB2006q23695")</f>
        <v>NMAH-AHB2006q23695</v>
      </c>
      <c r="B130" s="3" t="s">
        <v>592</v>
      </c>
      <c r="C130" s="3">
        <v>674623</v>
      </c>
      <c r="D130" s="3" t="s">
        <v>424</v>
      </c>
      <c r="E130" s="4" t="s">
        <v>425</v>
      </c>
      <c r="F130" t="s">
        <v>440</v>
      </c>
      <c r="G130">
        <v>0.93626922369003296</v>
      </c>
      <c r="H130" t="s">
        <v>441</v>
      </c>
      <c r="I130">
        <v>0.6757805347442627</v>
      </c>
      <c r="J130" t="s">
        <v>301</v>
      </c>
      <c r="K130" s="4">
        <v>0.54185628890991211</v>
      </c>
      <c r="L130" t="s">
        <v>303</v>
      </c>
      <c r="M130">
        <v>0.16757121999999999</v>
      </c>
      <c r="N130" t="s">
        <v>501</v>
      </c>
      <c r="O130">
        <v>0.12457195</v>
      </c>
      <c r="P130" t="s">
        <v>516</v>
      </c>
      <c r="Q130" s="4">
        <v>0.12224758400000001</v>
      </c>
      <c r="R130" t="s">
        <v>443</v>
      </c>
      <c r="S130">
        <v>0.10813947</v>
      </c>
      <c r="T130" t="s">
        <v>516</v>
      </c>
      <c r="U130">
        <v>9.5835409999999996E-2</v>
      </c>
      <c r="V130" t="s">
        <v>303</v>
      </c>
      <c r="W130">
        <v>7.7747410000000003E-2</v>
      </c>
    </row>
    <row r="131" spans="1:23" x14ac:dyDescent="0.25">
      <c r="A131" s="3" t="str">
        <f>HYPERLINK("http://ids.si.edu/ids/deliveryService?id=NMAH-2006-7293","NMAH-2006-7293")</f>
        <v>NMAH-2006-7293</v>
      </c>
      <c r="B131" s="3" t="s">
        <v>593</v>
      </c>
      <c r="C131" s="3">
        <v>1296859</v>
      </c>
      <c r="D131" s="3" t="s">
        <v>424</v>
      </c>
      <c r="E131" s="4" t="s">
        <v>594</v>
      </c>
      <c r="F131" t="s">
        <v>595</v>
      </c>
      <c r="G131">
        <v>0.76877039670944214</v>
      </c>
      <c r="H131" t="s">
        <v>50</v>
      </c>
      <c r="I131">
        <v>0.60706108808517456</v>
      </c>
      <c r="J131" t="s">
        <v>596</v>
      </c>
      <c r="K131" s="4">
        <v>0.51806670427322388</v>
      </c>
      <c r="L131" t="s">
        <v>597</v>
      </c>
      <c r="M131">
        <v>0.20063312</v>
      </c>
      <c r="N131" t="s">
        <v>598</v>
      </c>
      <c r="O131">
        <v>0.15573210000000001</v>
      </c>
      <c r="P131" t="s">
        <v>390</v>
      </c>
      <c r="Q131" s="4">
        <v>0.1279894</v>
      </c>
      <c r="R131" t="s">
        <v>599</v>
      </c>
      <c r="S131">
        <v>0.19512209999999999</v>
      </c>
      <c r="T131" t="s">
        <v>600</v>
      </c>
      <c r="U131">
        <v>7.8990279999999996E-2</v>
      </c>
      <c r="V131" t="s">
        <v>601</v>
      </c>
      <c r="W131">
        <v>5.3607095E-2</v>
      </c>
    </row>
    <row r="132" spans="1:23" x14ac:dyDescent="0.25">
      <c r="A132" s="3" t="str">
        <f>HYPERLINK("http://ids.si.edu/ids/deliveryService?id=NMAH-AHB2010q66286-001","NMAH-AHB2010q66286-001")</f>
        <v>NMAH-AHB2010q66286-001</v>
      </c>
      <c r="B132" s="3" t="s">
        <v>602</v>
      </c>
      <c r="C132" s="3">
        <v>1250097</v>
      </c>
      <c r="D132" s="3" t="s">
        <v>424</v>
      </c>
      <c r="E132" s="4" t="s">
        <v>469</v>
      </c>
      <c r="F132" t="s">
        <v>603</v>
      </c>
      <c r="G132">
        <v>0.90684622526168823</v>
      </c>
      <c r="H132" t="s">
        <v>604</v>
      </c>
      <c r="I132">
        <v>0.7607961893081665</v>
      </c>
      <c r="J132" t="s">
        <v>541</v>
      </c>
      <c r="K132" s="4">
        <v>0.63133203983306885</v>
      </c>
      <c r="L132" t="s">
        <v>93</v>
      </c>
      <c r="M132">
        <v>0.33506593000000001</v>
      </c>
      <c r="N132" t="s">
        <v>460</v>
      </c>
      <c r="O132">
        <v>0.14939754999999999</v>
      </c>
      <c r="P132" t="s">
        <v>312</v>
      </c>
      <c r="Q132" s="4">
        <v>0.13977220000000001</v>
      </c>
      <c r="R132" t="s">
        <v>93</v>
      </c>
      <c r="S132">
        <v>0.30765995000000002</v>
      </c>
      <c r="T132" t="s">
        <v>113</v>
      </c>
      <c r="U132">
        <v>0.14360790000000001</v>
      </c>
      <c r="V132" t="s">
        <v>209</v>
      </c>
      <c r="W132">
        <v>0.12481428</v>
      </c>
    </row>
    <row r="133" spans="1:23" x14ac:dyDescent="0.25">
      <c r="A133" s="3" t="str">
        <f>HYPERLINK("http://ids.si.edu/ids/deliveryService?id=NMAH-AHB2011r5161","NMAH-AHB2011r5161")</f>
        <v>NMAH-AHB2011r5161</v>
      </c>
      <c r="B133" s="3" t="s">
        <v>605</v>
      </c>
      <c r="C133" s="3">
        <v>681410</v>
      </c>
      <c r="D133" s="3" t="s">
        <v>424</v>
      </c>
      <c r="E133" s="4" t="s">
        <v>606</v>
      </c>
      <c r="F133" t="s">
        <v>439</v>
      </c>
      <c r="G133">
        <v>0.88461792469024658</v>
      </c>
      <c r="H133" t="s">
        <v>607</v>
      </c>
      <c r="I133">
        <v>0.86001694202423096</v>
      </c>
      <c r="J133" t="s">
        <v>608</v>
      </c>
      <c r="K133" s="4">
        <v>0.78185027837753296</v>
      </c>
      <c r="L133" t="s">
        <v>609</v>
      </c>
      <c r="M133">
        <v>0.69885130000000006</v>
      </c>
      <c r="N133" t="s">
        <v>460</v>
      </c>
      <c r="O133">
        <v>3.6723150000000003E-2</v>
      </c>
      <c r="P133" t="s">
        <v>442</v>
      </c>
      <c r="Q133" s="4">
        <v>2.9579699000000001E-2</v>
      </c>
      <c r="R133" t="s">
        <v>516</v>
      </c>
      <c r="S133">
        <v>0.32755592</v>
      </c>
      <c r="T133" t="s">
        <v>610</v>
      </c>
      <c r="U133">
        <v>6.0701933E-2</v>
      </c>
      <c r="V133" t="s">
        <v>609</v>
      </c>
      <c r="W133">
        <v>5.8989960000000001E-2</v>
      </c>
    </row>
    <row r="134" spans="1:23" x14ac:dyDescent="0.25">
      <c r="A134" s="3" t="str">
        <f>HYPERLINK("http://ids.si.edu/ids/deliveryService?id=NMAH-AHB2010r4911","NMAH-AHB2010r4911")</f>
        <v>NMAH-AHB2010r4911</v>
      </c>
      <c r="B134" s="3" t="s">
        <v>611</v>
      </c>
      <c r="C134" s="3">
        <v>682018</v>
      </c>
      <c r="D134" s="3" t="s">
        <v>424</v>
      </c>
      <c r="E134" s="4" t="s">
        <v>425</v>
      </c>
      <c r="F134" t="s">
        <v>61</v>
      </c>
      <c r="G134">
        <v>0.85248786211013794</v>
      </c>
      <c r="H134" t="s">
        <v>126</v>
      </c>
      <c r="I134">
        <v>0.7686077356338501</v>
      </c>
      <c r="J134" t="s">
        <v>128</v>
      </c>
      <c r="K134" s="4">
        <v>0.61639797687530518</v>
      </c>
      <c r="L134" t="s">
        <v>29</v>
      </c>
      <c r="M134">
        <v>0.50609970000000004</v>
      </c>
      <c r="N134" t="s">
        <v>65</v>
      </c>
      <c r="O134">
        <v>0.32314387</v>
      </c>
      <c r="P134" t="s">
        <v>460</v>
      </c>
      <c r="Q134" s="4">
        <v>2.3125840000000002E-2</v>
      </c>
      <c r="R134" t="s">
        <v>29</v>
      </c>
      <c r="S134">
        <v>0.62380064000000002</v>
      </c>
      <c r="T134" t="s">
        <v>144</v>
      </c>
      <c r="U134">
        <v>6.4032339999999993E-2</v>
      </c>
      <c r="V134" t="s">
        <v>65</v>
      </c>
      <c r="W134">
        <v>3.9824195E-2</v>
      </c>
    </row>
    <row r="135" spans="1:23" x14ac:dyDescent="0.25">
      <c r="A135" s="3" t="str">
        <f>HYPERLINK("http://ids.si.edu/ids/deliveryService?id=NMAH-AHB2017q009894","NMAH-AHB2017q009894")</f>
        <v>NMAH-AHB2017q009894</v>
      </c>
      <c r="B135" s="3" t="s">
        <v>612</v>
      </c>
      <c r="C135" s="3">
        <v>1834081</v>
      </c>
      <c r="D135" s="3" t="s">
        <v>424</v>
      </c>
      <c r="E135" s="4" t="s">
        <v>518</v>
      </c>
      <c r="F135" t="s">
        <v>126</v>
      </c>
      <c r="G135">
        <v>0.94154608249664307</v>
      </c>
      <c r="H135" t="s">
        <v>61</v>
      </c>
      <c r="I135">
        <v>0.90306717157363892</v>
      </c>
      <c r="J135" t="s">
        <v>112</v>
      </c>
      <c r="K135" s="4">
        <v>0.68572378158569336</v>
      </c>
      <c r="L135" t="s">
        <v>129</v>
      </c>
      <c r="M135">
        <v>0.60053640000000008</v>
      </c>
      <c r="N135" t="s">
        <v>65</v>
      </c>
      <c r="O135">
        <v>0.29281931999999999</v>
      </c>
      <c r="P135" t="s">
        <v>209</v>
      </c>
      <c r="Q135" s="4">
        <v>2.4353521E-2</v>
      </c>
      <c r="R135" t="s">
        <v>129</v>
      </c>
      <c r="S135">
        <v>0.47640916999999999</v>
      </c>
      <c r="T135" t="s">
        <v>190</v>
      </c>
      <c r="U135">
        <v>0.31547639999999999</v>
      </c>
      <c r="V135" t="s">
        <v>209</v>
      </c>
      <c r="W135">
        <v>4.9680624000000007E-2</v>
      </c>
    </row>
    <row r="136" spans="1:23" x14ac:dyDescent="0.25">
      <c r="A136" s="3" t="str">
        <f>HYPERLINK("http://ids.si.edu/ids/deliveryService?id=NMAH-MAH-56352","NMAH-MAH-56352")</f>
        <v>NMAH-MAH-56352</v>
      </c>
      <c r="B136" s="3" t="s">
        <v>613</v>
      </c>
      <c r="C136" s="3">
        <v>605981</v>
      </c>
      <c r="D136" s="3" t="s">
        <v>424</v>
      </c>
      <c r="E136" s="4" t="s">
        <v>565</v>
      </c>
      <c r="F136" t="s">
        <v>178</v>
      </c>
      <c r="G136">
        <v>0.95588725805282593</v>
      </c>
      <c r="H136" t="s">
        <v>419</v>
      </c>
      <c r="I136">
        <v>0.95519530773162842</v>
      </c>
      <c r="J136" t="s">
        <v>179</v>
      </c>
      <c r="K136" s="4">
        <v>0.90781182050704956</v>
      </c>
      <c r="L136" t="s">
        <v>177</v>
      </c>
      <c r="M136">
        <v>0.37208837</v>
      </c>
      <c r="N136" t="s">
        <v>182</v>
      </c>
      <c r="O136">
        <v>0.20250633000000001</v>
      </c>
      <c r="P136" t="s">
        <v>481</v>
      </c>
      <c r="Q136" s="4">
        <v>0.14029905000000001</v>
      </c>
      <c r="R136" t="s">
        <v>182</v>
      </c>
      <c r="S136">
        <v>0.54448980000000002</v>
      </c>
      <c r="T136" t="s">
        <v>177</v>
      </c>
      <c r="U136">
        <v>0.23270945000000001</v>
      </c>
      <c r="V136" t="s">
        <v>412</v>
      </c>
      <c r="W136">
        <v>4.1664134999999998E-2</v>
      </c>
    </row>
    <row r="137" spans="1:23" x14ac:dyDescent="0.25">
      <c r="A137" s="3" t="str">
        <f>HYPERLINK("http://ids.si.edu/ids/deliveryService?id=NMAH-AHB2006q23463","NMAH-AHB2006q23463")</f>
        <v>NMAH-AHB2006q23463</v>
      </c>
      <c r="B137" s="3" t="s">
        <v>614</v>
      </c>
      <c r="C137" s="3">
        <v>666387</v>
      </c>
      <c r="D137" s="3" t="s">
        <v>424</v>
      </c>
      <c r="E137" s="4" t="s">
        <v>425</v>
      </c>
      <c r="F137" t="s">
        <v>440</v>
      </c>
      <c r="G137">
        <v>0.84857934713363647</v>
      </c>
      <c r="H137" t="s">
        <v>441</v>
      </c>
      <c r="I137">
        <v>0.71206289529800415</v>
      </c>
      <c r="J137" t="s">
        <v>615</v>
      </c>
      <c r="K137" s="4">
        <v>0.60989159345626831</v>
      </c>
      <c r="L137" t="s">
        <v>303</v>
      </c>
      <c r="M137">
        <v>0.98476740000000007</v>
      </c>
      <c r="N137" t="s">
        <v>528</v>
      </c>
      <c r="O137">
        <v>2.8601544999999999E-3</v>
      </c>
      <c r="P137" t="s">
        <v>529</v>
      </c>
      <c r="Q137" s="4">
        <v>2.5982738000000002E-3</v>
      </c>
      <c r="R137" t="s">
        <v>303</v>
      </c>
      <c r="S137">
        <v>0.25545050000000002</v>
      </c>
      <c r="T137" t="s">
        <v>444</v>
      </c>
      <c r="U137">
        <v>7.9942589999999994E-2</v>
      </c>
      <c r="V137" t="s">
        <v>443</v>
      </c>
      <c r="W137">
        <v>4.1062913999999999E-2</v>
      </c>
    </row>
    <row r="138" spans="1:23" x14ac:dyDescent="0.25">
      <c r="A138" s="3" t="str">
        <f>HYPERLINK("http://ids.si.edu/ids/deliveryService?id=SIA-2006-3926","SIA-2006-3926")</f>
        <v>SIA-2006-3926</v>
      </c>
      <c r="B138" s="3" t="s">
        <v>616</v>
      </c>
      <c r="C138" s="3">
        <v>1304663</v>
      </c>
      <c r="D138" s="3" t="s">
        <v>424</v>
      </c>
      <c r="E138" s="4" t="s">
        <v>131</v>
      </c>
      <c r="F138" t="s">
        <v>101</v>
      </c>
      <c r="G138">
        <v>0.92629605531692505</v>
      </c>
      <c r="H138" t="s">
        <v>617</v>
      </c>
      <c r="I138">
        <v>0.89990109205245972</v>
      </c>
      <c r="J138" t="s">
        <v>618</v>
      </c>
      <c r="K138" s="4">
        <v>0.87409800291061401</v>
      </c>
      <c r="L138" t="s">
        <v>204</v>
      </c>
      <c r="M138">
        <v>0.44432795000000003</v>
      </c>
      <c r="N138" t="s">
        <v>198</v>
      </c>
      <c r="O138">
        <v>0.20936608000000001</v>
      </c>
      <c r="P138" t="s">
        <v>358</v>
      </c>
      <c r="Q138" s="4">
        <v>6.9695019999999996E-2</v>
      </c>
      <c r="R138" t="s">
        <v>619</v>
      </c>
      <c r="S138">
        <v>0.16628675000000001</v>
      </c>
      <c r="T138" t="s">
        <v>620</v>
      </c>
      <c r="U138">
        <v>9.3116119999999997E-2</v>
      </c>
      <c r="V138" t="s">
        <v>107</v>
      </c>
      <c r="W138">
        <v>8.1056379999999997E-2</v>
      </c>
    </row>
    <row r="139" spans="1:23" x14ac:dyDescent="0.25">
      <c r="A139" s="3" t="str">
        <f>HYPERLINK("http://ids.si.edu/ids/deliveryService?id=NMAH-AHB2017q008551","NMAH-AHB2017q008551")</f>
        <v>NMAH-AHB2017q008551</v>
      </c>
      <c r="B139" s="3" t="s">
        <v>621</v>
      </c>
      <c r="C139" s="3">
        <v>374586</v>
      </c>
      <c r="D139" s="3" t="s">
        <v>424</v>
      </c>
      <c r="E139" s="4" t="s">
        <v>263</v>
      </c>
      <c r="F139" t="s">
        <v>429</v>
      </c>
      <c r="G139">
        <v>0.89174628257751465</v>
      </c>
      <c r="H139" t="s">
        <v>264</v>
      </c>
      <c r="I139">
        <v>0.67442142963409424</v>
      </c>
      <c r="J139" t="s">
        <v>622</v>
      </c>
      <c r="K139" s="4">
        <v>0.65370118618011475</v>
      </c>
      <c r="L139" t="s">
        <v>42</v>
      </c>
      <c r="M139">
        <v>0.18019028000000001</v>
      </c>
      <c r="N139" t="s">
        <v>66</v>
      </c>
      <c r="O139">
        <v>7.8234814E-2</v>
      </c>
      <c r="P139" t="s">
        <v>623</v>
      </c>
      <c r="Q139" s="4">
        <v>6.2051624000000007E-2</v>
      </c>
      <c r="R139" t="s">
        <v>66</v>
      </c>
      <c r="S139">
        <v>0.2545674</v>
      </c>
      <c r="T139" t="s">
        <v>65</v>
      </c>
      <c r="U139">
        <v>0.16566644999999999</v>
      </c>
      <c r="V139" t="s">
        <v>624</v>
      </c>
      <c r="W139">
        <v>5.5236130000000001E-2</v>
      </c>
    </row>
    <row r="140" spans="1:23" x14ac:dyDescent="0.25">
      <c r="A140" s="3" t="str">
        <f>HYPERLINK("http://ids.si.edu/ids/deliveryService?id=NMAH-AHB2010q66464","NMAH-AHB2010q66464")</f>
        <v>NMAH-AHB2010q66464</v>
      </c>
      <c r="B140" s="3" t="s">
        <v>625</v>
      </c>
      <c r="C140" s="3">
        <v>1335501</v>
      </c>
      <c r="D140" s="3" t="s">
        <v>424</v>
      </c>
      <c r="E140" s="4" t="s">
        <v>626</v>
      </c>
      <c r="F140" t="s">
        <v>582</v>
      </c>
      <c r="G140">
        <v>0.70829862356185913</v>
      </c>
      <c r="H140" t="s">
        <v>607</v>
      </c>
      <c r="I140">
        <v>0.61135661602020264</v>
      </c>
      <c r="L140" t="s">
        <v>303</v>
      </c>
      <c r="M140">
        <v>0.57086146000000004</v>
      </c>
      <c r="N140" t="s">
        <v>528</v>
      </c>
      <c r="O140">
        <v>5.8777972999999997E-2</v>
      </c>
      <c r="P140" t="s">
        <v>627</v>
      </c>
      <c r="Q140" s="4">
        <v>2.8466318000000001E-2</v>
      </c>
      <c r="R140" t="s">
        <v>303</v>
      </c>
      <c r="S140">
        <v>0.26048856999999997</v>
      </c>
      <c r="T140" t="s">
        <v>586</v>
      </c>
      <c r="U140">
        <v>0.14095214</v>
      </c>
      <c r="V140" t="s">
        <v>628</v>
      </c>
      <c r="W140">
        <v>5.3712014000000002E-2</v>
      </c>
    </row>
    <row r="141" spans="1:23" x14ac:dyDescent="0.25">
      <c r="A141" s="3" t="str">
        <f>HYPERLINK("http://ids.si.edu/ids/deliveryService?id=NMAH-90-8540","NMAH-90-8540")</f>
        <v>NMAH-90-8540</v>
      </c>
      <c r="B141" s="3" t="s">
        <v>629</v>
      </c>
      <c r="C141" s="3">
        <v>605484</v>
      </c>
      <c r="D141" s="3" t="s">
        <v>424</v>
      </c>
      <c r="E141" s="4" t="s">
        <v>492</v>
      </c>
      <c r="F141" t="s">
        <v>434</v>
      </c>
      <c r="G141">
        <v>0.99217426776885986</v>
      </c>
      <c r="H141" t="s">
        <v>434</v>
      </c>
      <c r="I141">
        <v>0.98420506715774536</v>
      </c>
      <c r="J141" t="s">
        <v>433</v>
      </c>
      <c r="K141" s="4">
        <v>0.98392027616500854</v>
      </c>
      <c r="L141" t="s">
        <v>492</v>
      </c>
      <c r="M141">
        <v>0.83137064999999999</v>
      </c>
      <c r="N141" t="s">
        <v>552</v>
      </c>
      <c r="O141">
        <v>0.16861831999999999</v>
      </c>
      <c r="P141" t="s">
        <v>436</v>
      </c>
      <c r="Q141" s="4">
        <v>6.1043533999999999E-6</v>
      </c>
      <c r="R141" t="s">
        <v>492</v>
      </c>
      <c r="S141">
        <v>0.85187835000000001</v>
      </c>
      <c r="T141" t="s">
        <v>552</v>
      </c>
      <c r="U141">
        <v>0.14776684000000001</v>
      </c>
      <c r="V141" t="s">
        <v>451</v>
      </c>
      <c r="W141">
        <v>1.2978891999999999E-4</v>
      </c>
    </row>
    <row r="142" spans="1:23" x14ac:dyDescent="0.25">
      <c r="A142" s="3" t="str">
        <f>HYPERLINK("http://ids.si.edu/ids/deliveryService?id=NMAH-AHB2006q24003","NMAH-AHB2006q24003")</f>
        <v>NMAH-AHB2006q24003</v>
      </c>
      <c r="B142" s="3" t="s">
        <v>630</v>
      </c>
      <c r="C142" s="3">
        <v>672160</v>
      </c>
      <c r="D142" s="3" t="s">
        <v>424</v>
      </c>
      <c r="E142" s="4" t="s">
        <v>425</v>
      </c>
      <c r="F142" t="s">
        <v>440</v>
      </c>
      <c r="G142">
        <v>0.91703128814697266</v>
      </c>
      <c r="H142" t="s">
        <v>301</v>
      </c>
      <c r="I142">
        <v>0.56313377618789673</v>
      </c>
      <c r="L142" t="s">
        <v>303</v>
      </c>
      <c r="M142">
        <v>0.45049887999999999</v>
      </c>
      <c r="N142" t="s">
        <v>516</v>
      </c>
      <c r="O142">
        <v>0.10455623999999999</v>
      </c>
      <c r="P142" t="s">
        <v>430</v>
      </c>
      <c r="Q142" s="4">
        <v>4.9872122999999997E-2</v>
      </c>
      <c r="R142" t="s">
        <v>303</v>
      </c>
      <c r="S142">
        <v>0.15564491</v>
      </c>
      <c r="T142" t="s">
        <v>443</v>
      </c>
      <c r="U142">
        <v>0.13856605999999999</v>
      </c>
      <c r="V142" t="s">
        <v>459</v>
      </c>
      <c r="W142">
        <v>5.016135E-2</v>
      </c>
    </row>
    <row r="143" spans="1:23" x14ac:dyDescent="0.25">
      <c r="A143" s="3" t="str">
        <f>HYPERLINK("http://ids.si.edu/ids/deliveryService?id=NMAH-AHB2017q008611","NMAH-AHB2017q008611")</f>
        <v>NMAH-AHB2017q008611</v>
      </c>
      <c r="B143" s="3" t="s">
        <v>631</v>
      </c>
      <c r="C143" s="3">
        <v>374532</v>
      </c>
      <c r="D143" s="3" t="s">
        <v>424</v>
      </c>
      <c r="E143" s="4" t="s">
        <v>632</v>
      </c>
      <c r="F143" t="s">
        <v>60</v>
      </c>
      <c r="G143">
        <v>0.97049862146377563</v>
      </c>
      <c r="H143" t="s">
        <v>429</v>
      </c>
      <c r="I143">
        <v>0.94540101289749146</v>
      </c>
      <c r="J143" t="s">
        <v>633</v>
      </c>
      <c r="K143" s="4">
        <v>0.90280818939208984</v>
      </c>
      <c r="L143" t="s">
        <v>350</v>
      </c>
      <c r="M143">
        <v>0.44413026999999999</v>
      </c>
      <c r="N143" t="s">
        <v>411</v>
      </c>
      <c r="O143">
        <v>9.8849199999999998E-2</v>
      </c>
      <c r="P143" t="s">
        <v>634</v>
      </c>
      <c r="Q143" s="4">
        <v>4.8922795999999998E-2</v>
      </c>
      <c r="R143" t="s">
        <v>65</v>
      </c>
      <c r="S143">
        <v>0.50398904</v>
      </c>
      <c r="T143" t="s">
        <v>634</v>
      </c>
      <c r="U143">
        <v>0.10387882</v>
      </c>
      <c r="V143" t="s">
        <v>513</v>
      </c>
      <c r="W143">
        <v>5.6835410000000003E-2</v>
      </c>
    </row>
    <row r="144" spans="1:23" x14ac:dyDescent="0.25">
      <c r="A144" s="3" t="str">
        <f>HYPERLINK("http://ids.si.edu/ids/deliveryService?id=NMAH-MAH-56381","NMAH-MAH-56381")</f>
        <v>NMAH-MAH-56381</v>
      </c>
      <c r="B144" s="3" t="s">
        <v>635</v>
      </c>
      <c r="C144" s="3">
        <v>605492</v>
      </c>
      <c r="D144" s="3" t="s">
        <v>424</v>
      </c>
      <c r="E144" s="4" t="s">
        <v>565</v>
      </c>
      <c r="F144" t="s">
        <v>636</v>
      </c>
      <c r="G144">
        <v>0.82338696718215942</v>
      </c>
      <c r="H144" t="s">
        <v>178</v>
      </c>
      <c r="I144">
        <v>0.82079803943634033</v>
      </c>
      <c r="J144" t="s">
        <v>637</v>
      </c>
      <c r="K144" s="4">
        <v>0.7610974907875061</v>
      </c>
      <c r="L144" t="s">
        <v>182</v>
      </c>
      <c r="M144">
        <v>0.59797334999999996</v>
      </c>
      <c r="N144" t="s">
        <v>638</v>
      </c>
      <c r="O144">
        <v>0.13500098999999999</v>
      </c>
      <c r="P144" t="s">
        <v>411</v>
      </c>
      <c r="Q144" s="4">
        <v>3.1706329999999998E-2</v>
      </c>
      <c r="R144" t="s">
        <v>182</v>
      </c>
      <c r="S144">
        <v>0.8541799000000001</v>
      </c>
      <c r="T144" t="s">
        <v>638</v>
      </c>
      <c r="U144">
        <v>3.7376634999999998E-2</v>
      </c>
      <c r="V144" t="s">
        <v>639</v>
      </c>
      <c r="W144">
        <v>3.2971840000000002E-2</v>
      </c>
    </row>
    <row r="145" spans="1:23" x14ac:dyDescent="0.25">
      <c r="A145" s="3" t="str">
        <f>HYPERLINK("http://ids.si.edu/ids/deliveryService?id=NMAH-AHB2017q009159","NMAH-AHB2017q009159")</f>
        <v>NMAH-AHB2017q009159</v>
      </c>
      <c r="B145" s="3" t="s">
        <v>640</v>
      </c>
      <c r="C145" s="3">
        <v>1322283</v>
      </c>
      <c r="D145" s="3" t="s">
        <v>424</v>
      </c>
      <c r="E145" s="4" t="s">
        <v>641</v>
      </c>
      <c r="F145" t="s">
        <v>642</v>
      </c>
      <c r="G145">
        <v>0.86646592617034912</v>
      </c>
      <c r="H145" t="s">
        <v>126</v>
      </c>
      <c r="I145">
        <v>0.77605181932449341</v>
      </c>
      <c r="J145" t="s">
        <v>643</v>
      </c>
      <c r="K145" s="4">
        <v>0.72641819715499878</v>
      </c>
      <c r="L145" t="s">
        <v>65</v>
      </c>
      <c r="M145">
        <v>0.66138995</v>
      </c>
      <c r="N145" t="s">
        <v>129</v>
      </c>
      <c r="O145">
        <v>0.16581457999999999</v>
      </c>
      <c r="P145" t="s">
        <v>644</v>
      </c>
      <c r="Q145" s="4">
        <v>7.8769539999999999E-2</v>
      </c>
      <c r="R145" t="s">
        <v>65</v>
      </c>
      <c r="S145">
        <v>0.84890515</v>
      </c>
      <c r="T145" t="s">
        <v>129</v>
      </c>
      <c r="U145">
        <v>6.8362110000000004E-2</v>
      </c>
      <c r="V145" t="s">
        <v>29</v>
      </c>
      <c r="W145">
        <v>1.3009662999999999E-2</v>
      </c>
    </row>
    <row r="146" spans="1:23" x14ac:dyDescent="0.25">
      <c r="A146" s="3" t="str">
        <f>HYPERLINK("http://ids.si.edu/ids/deliveryService?id=NMAH-AHB2006q22565","NMAH-AHB2006q22565")</f>
        <v>NMAH-AHB2006q22565</v>
      </c>
      <c r="B146" s="3" t="s">
        <v>645</v>
      </c>
      <c r="C146" s="3">
        <v>668433</v>
      </c>
      <c r="D146" s="3" t="s">
        <v>424</v>
      </c>
      <c r="E146" s="4" t="s">
        <v>425</v>
      </c>
      <c r="F146" t="s">
        <v>646</v>
      </c>
      <c r="G146">
        <v>0.73956352472305298</v>
      </c>
      <c r="H146" t="s">
        <v>647</v>
      </c>
      <c r="I146">
        <v>0.52569550275802612</v>
      </c>
      <c r="L146" t="s">
        <v>129</v>
      </c>
      <c r="M146">
        <v>0.40730592999999998</v>
      </c>
      <c r="N146" t="s">
        <v>65</v>
      </c>
      <c r="O146">
        <v>0.22786339999999999</v>
      </c>
      <c r="P146" t="s">
        <v>79</v>
      </c>
      <c r="Q146" s="4">
        <v>9.6916230000000006E-2</v>
      </c>
      <c r="R146" t="s">
        <v>79</v>
      </c>
      <c r="S146">
        <v>0.13859013000000001</v>
      </c>
      <c r="T146" t="s">
        <v>648</v>
      </c>
      <c r="U146">
        <v>9.0681960000000006E-2</v>
      </c>
      <c r="V146" t="s">
        <v>66</v>
      </c>
      <c r="W146">
        <v>5.4062117E-2</v>
      </c>
    </row>
    <row r="147" spans="1:23" x14ac:dyDescent="0.25">
      <c r="A147" s="3" t="str">
        <f>HYPERLINK("http://ids.si.edu/ids/deliveryService?id=NMAH-AHB2014q005007","NMAH-AHB2014q005007")</f>
        <v>NMAH-AHB2014q005007</v>
      </c>
      <c r="B147" s="3" t="s">
        <v>649</v>
      </c>
      <c r="C147" s="3">
        <v>1455967</v>
      </c>
      <c r="D147" s="3" t="s">
        <v>424</v>
      </c>
      <c r="E147" s="4" t="s">
        <v>650</v>
      </c>
      <c r="F147" t="s">
        <v>61</v>
      </c>
      <c r="G147">
        <v>0.95295780897140503</v>
      </c>
      <c r="H147" t="s">
        <v>112</v>
      </c>
      <c r="I147">
        <v>0.89962786436080933</v>
      </c>
      <c r="J147" t="s">
        <v>651</v>
      </c>
      <c r="K147" s="4">
        <v>0.8053099513053894</v>
      </c>
      <c r="L147" t="s">
        <v>377</v>
      </c>
      <c r="M147">
        <v>0.10930165</v>
      </c>
      <c r="N147" t="s">
        <v>652</v>
      </c>
      <c r="O147">
        <v>9.6300274000000005E-2</v>
      </c>
      <c r="P147" t="s">
        <v>260</v>
      </c>
      <c r="Q147" s="4">
        <v>7.4798619999999996E-2</v>
      </c>
      <c r="R147" t="s">
        <v>260</v>
      </c>
      <c r="S147">
        <v>0.56796544999999998</v>
      </c>
      <c r="T147" t="s">
        <v>377</v>
      </c>
      <c r="U147">
        <v>4.3281548000000003E-2</v>
      </c>
      <c r="V147" t="s">
        <v>65</v>
      </c>
      <c r="W147">
        <v>3.3270609999999999E-2</v>
      </c>
    </row>
    <row r="148" spans="1:23" x14ac:dyDescent="0.25">
      <c r="A148" s="3" t="str">
        <f>HYPERLINK("http://ids.si.edu/ids/deliveryService?id=NMAH-AHB2006q24111","NMAH-AHB2006q24111")</f>
        <v>NMAH-AHB2006q24111</v>
      </c>
      <c r="B148" s="3" t="s">
        <v>653</v>
      </c>
      <c r="C148" s="3">
        <v>674108</v>
      </c>
      <c r="D148" s="3" t="s">
        <v>424</v>
      </c>
      <c r="E148" s="4" t="s">
        <v>425</v>
      </c>
      <c r="F148" t="s">
        <v>440</v>
      </c>
      <c r="G148">
        <v>0.87961030006408691</v>
      </c>
      <c r="H148" t="s">
        <v>439</v>
      </c>
      <c r="I148">
        <v>0.79161351919174194</v>
      </c>
      <c r="J148" t="s">
        <v>441</v>
      </c>
      <c r="K148" s="4">
        <v>0.71206289529800415</v>
      </c>
      <c r="L148" t="s">
        <v>303</v>
      </c>
      <c r="M148">
        <v>0.73608890000000005</v>
      </c>
      <c r="N148" t="s">
        <v>654</v>
      </c>
      <c r="O148">
        <v>4.7762852000000001E-2</v>
      </c>
      <c r="P148" t="s">
        <v>516</v>
      </c>
      <c r="Q148" s="4">
        <v>2.6203575999999999E-2</v>
      </c>
      <c r="R148" t="s">
        <v>303</v>
      </c>
      <c r="S148">
        <v>0.2656192</v>
      </c>
      <c r="T148" t="s">
        <v>654</v>
      </c>
      <c r="U148">
        <v>0.13485465999999999</v>
      </c>
      <c r="V148" t="s">
        <v>502</v>
      </c>
      <c r="W148">
        <v>9.9942415999999992E-2</v>
      </c>
    </row>
    <row r="149" spans="1:23" x14ac:dyDescent="0.25">
      <c r="A149" s="3" t="str">
        <f>HYPERLINK("http://ids.si.edu/ids/deliveryService?id=NMAH-ET2013-38678","NMAH-ET2013-38678")</f>
        <v>NMAH-ET2013-38678</v>
      </c>
      <c r="B149" s="3" t="s">
        <v>655</v>
      </c>
      <c r="C149" s="3">
        <v>1397160</v>
      </c>
      <c r="D149" s="3" t="s">
        <v>424</v>
      </c>
      <c r="E149" s="4" t="s">
        <v>547</v>
      </c>
      <c r="F149" t="s">
        <v>656</v>
      </c>
      <c r="G149">
        <v>0.7321174144744873</v>
      </c>
      <c r="H149" t="s">
        <v>657</v>
      </c>
      <c r="I149">
        <v>0.68459057807922363</v>
      </c>
      <c r="J149" t="s">
        <v>311</v>
      </c>
      <c r="K149" s="4">
        <v>0.57658189535140991</v>
      </c>
      <c r="L149" t="s">
        <v>584</v>
      </c>
      <c r="M149">
        <v>0.15909593999999999</v>
      </c>
      <c r="N149" t="s">
        <v>133</v>
      </c>
      <c r="O149">
        <v>0.13235185999999999</v>
      </c>
      <c r="P149" t="s">
        <v>302</v>
      </c>
      <c r="Q149" s="4">
        <v>5.9497849999999998E-2</v>
      </c>
      <c r="R149" t="s">
        <v>658</v>
      </c>
      <c r="S149">
        <v>0.15417272000000001</v>
      </c>
      <c r="T149" t="s">
        <v>319</v>
      </c>
      <c r="U149">
        <v>6.4005524000000008E-2</v>
      </c>
      <c r="V149" t="s">
        <v>133</v>
      </c>
      <c r="W149">
        <v>6.2055065999999999E-2</v>
      </c>
    </row>
    <row r="150" spans="1:23" x14ac:dyDescent="0.25">
      <c r="A150" s="3" t="str">
        <f>HYPERLINK("http://ids.si.edu/ids/deliveryService?id=NMAH-AHB2012q01801","NMAH-AHB2012q01801")</f>
        <v>NMAH-AHB2012q01801</v>
      </c>
      <c r="B150" s="3" t="s">
        <v>659</v>
      </c>
      <c r="C150" s="3">
        <v>1057519</v>
      </c>
      <c r="D150" s="3" t="s">
        <v>424</v>
      </c>
      <c r="E150" s="4" t="s">
        <v>425</v>
      </c>
      <c r="F150" t="s">
        <v>440</v>
      </c>
      <c r="G150">
        <v>0.90285158157348633</v>
      </c>
      <c r="H150" t="s">
        <v>301</v>
      </c>
      <c r="I150">
        <v>0.59727400541305542</v>
      </c>
      <c r="J150" t="s">
        <v>607</v>
      </c>
      <c r="K150" s="4">
        <v>0.52076029777526855</v>
      </c>
      <c r="L150" t="s">
        <v>528</v>
      </c>
      <c r="M150">
        <v>0.25090095000000001</v>
      </c>
      <c r="N150" t="s">
        <v>303</v>
      </c>
      <c r="O150">
        <v>0.11876738000000001</v>
      </c>
      <c r="P150" t="s">
        <v>516</v>
      </c>
      <c r="Q150" s="4">
        <v>9.1011844999999994E-2</v>
      </c>
      <c r="R150" t="s">
        <v>303</v>
      </c>
      <c r="S150">
        <v>5.2196949999999999E-2</v>
      </c>
      <c r="T150" t="s">
        <v>528</v>
      </c>
      <c r="U150">
        <v>5.1408200000000001E-2</v>
      </c>
      <c r="V150" t="s">
        <v>258</v>
      </c>
      <c r="W150">
        <v>3.6864729999999998E-2</v>
      </c>
    </row>
    <row r="151" spans="1:23" x14ac:dyDescent="0.25">
      <c r="A151" s="3" t="str">
        <f>HYPERLINK("http://ids.si.edu/ids/deliveryService?id=NMAH-AHB2014q008222","NMAH-AHB2014q008222")</f>
        <v>NMAH-AHB2014q008222</v>
      </c>
      <c r="B151" s="3" t="s">
        <v>660</v>
      </c>
      <c r="C151" s="3">
        <v>1464437</v>
      </c>
      <c r="D151" s="3" t="s">
        <v>424</v>
      </c>
      <c r="E151" s="4" t="s">
        <v>661</v>
      </c>
      <c r="F151" t="s">
        <v>454</v>
      </c>
      <c r="G151">
        <v>0.95382672548294067</v>
      </c>
      <c r="H151" t="s">
        <v>662</v>
      </c>
      <c r="I151">
        <v>0.90613210201263428</v>
      </c>
      <c r="J151" t="s">
        <v>455</v>
      </c>
      <c r="K151" s="4">
        <v>0.87554222345352173</v>
      </c>
      <c r="L151" t="s">
        <v>65</v>
      </c>
      <c r="M151">
        <v>0.66672989999999999</v>
      </c>
      <c r="N151" t="s">
        <v>66</v>
      </c>
      <c r="O151">
        <v>9.3192644000000005E-2</v>
      </c>
      <c r="P151" t="s">
        <v>168</v>
      </c>
      <c r="Q151" s="4">
        <v>5.9871420000000002E-2</v>
      </c>
      <c r="R151" t="s">
        <v>65</v>
      </c>
      <c r="S151">
        <v>0.57994990000000002</v>
      </c>
      <c r="T151" t="s">
        <v>66</v>
      </c>
      <c r="U151">
        <v>0.16478412000000001</v>
      </c>
      <c r="V151" t="s">
        <v>334</v>
      </c>
      <c r="W151">
        <v>9.5687040000000001E-2</v>
      </c>
    </row>
    <row r="152" spans="1:23" x14ac:dyDescent="0.25">
      <c r="A152" s="3" t="str">
        <f>HYPERLINK("http://ids.si.edu/ids/deliveryService?id=NMAH-JN2017-00312-000001","NMAH-JN2017-00312-000001")</f>
        <v>NMAH-JN2017-00312-000001</v>
      </c>
      <c r="B152" s="3" t="s">
        <v>663</v>
      </c>
      <c r="C152" s="3">
        <v>1247690</v>
      </c>
      <c r="D152" s="3" t="s">
        <v>424</v>
      </c>
      <c r="E152" s="4" t="s">
        <v>664</v>
      </c>
      <c r="F152" t="s">
        <v>665</v>
      </c>
      <c r="G152">
        <v>0.99146026372909546</v>
      </c>
      <c r="H152" t="s">
        <v>666</v>
      </c>
      <c r="I152">
        <v>0.9495202898979187</v>
      </c>
      <c r="J152" t="s">
        <v>667</v>
      </c>
      <c r="K152" s="4">
        <v>0.52797067165374756</v>
      </c>
      <c r="L152" t="s">
        <v>314</v>
      </c>
      <c r="M152">
        <v>0.50845390000000001</v>
      </c>
      <c r="N152" t="s">
        <v>150</v>
      </c>
      <c r="O152">
        <v>8.593729E-2</v>
      </c>
      <c r="P152" t="s">
        <v>411</v>
      </c>
      <c r="Q152" s="4">
        <v>5.713041E-2</v>
      </c>
      <c r="R152" t="s">
        <v>314</v>
      </c>
      <c r="S152">
        <v>0.2199142</v>
      </c>
      <c r="T152" t="s">
        <v>312</v>
      </c>
      <c r="U152">
        <v>0.14590228999999999</v>
      </c>
      <c r="V152" t="s">
        <v>668</v>
      </c>
      <c r="W152">
        <v>9.3449619999999997E-2</v>
      </c>
    </row>
    <row r="153" spans="1:23" x14ac:dyDescent="0.25">
      <c r="A153" s="3" t="str">
        <f>HYPERLINK("http://ids.si.edu/ids/deliveryService?id=NMAH-AHB2017q072360","NMAH-AHB2017q072360")</f>
        <v>NMAH-AHB2017q072360</v>
      </c>
      <c r="B153" s="3" t="s">
        <v>669</v>
      </c>
      <c r="C153" s="3">
        <v>607472</v>
      </c>
      <c r="D153" s="3" t="s">
        <v>424</v>
      </c>
      <c r="E153" s="4" t="s">
        <v>670</v>
      </c>
      <c r="F153" t="s">
        <v>178</v>
      </c>
      <c r="G153">
        <v>0.90254873037338257</v>
      </c>
      <c r="H153" t="s">
        <v>179</v>
      </c>
      <c r="I153">
        <v>0.87825065851211548</v>
      </c>
      <c r="J153" t="s">
        <v>419</v>
      </c>
      <c r="K153" s="4">
        <v>0.8236851692199707</v>
      </c>
      <c r="L153" t="s">
        <v>420</v>
      </c>
      <c r="M153">
        <v>0.16407305</v>
      </c>
      <c r="N153" t="s">
        <v>566</v>
      </c>
      <c r="O153">
        <v>0.11040185</v>
      </c>
      <c r="P153" t="s">
        <v>481</v>
      </c>
      <c r="Q153" s="4">
        <v>6.1971235999999999E-2</v>
      </c>
      <c r="R153" t="s">
        <v>177</v>
      </c>
      <c r="S153">
        <v>0.14724525999999999</v>
      </c>
      <c r="T153" t="s">
        <v>566</v>
      </c>
      <c r="U153">
        <v>7.6036594999999998E-2</v>
      </c>
      <c r="V153" t="s">
        <v>481</v>
      </c>
      <c r="W153">
        <v>7.2730840000000005E-2</v>
      </c>
    </row>
    <row r="154" spans="1:23" x14ac:dyDescent="0.25">
      <c r="A154" s="3" t="str">
        <f>HYPERLINK("http://ids.si.edu/ids/deliveryService?id=NMAH-AHB2017q074062","NMAH-AHB2017q074062")</f>
        <v>NMAH-AHB2017q074062</v>
      </c>
      <c r="B154" s="3" t="s">
        <v>671</v>
      </c>
      <c r="C154" s="3">
        <v>605787</v>
      </c>
      <c r="D154" s="3" t="s">
        <v>424</v>
      </c>
      <c r="E154" s="4" t="s">
        <v>672</v>
      </c>
      <c r="F154" t="s">
        <v>147</v>
      </c>
      <c r="G154">
        <v>0.90445864200592041</v>
      </c>
      <c r="H154" t="s">
        <v>178</v>
      </c>
      <c r="I154">
        <v>0.84759342670440674</v>
      </c>
      <c r="J154" t="s">
        <v>256</v>
      </c>
      <c r="K154" s="4">
        <v>0.84155488014221191</v>
      </c>
      <c r="L154" t="s">
        <v>673</v>
      </c>
      <c r="M154">
        <v>0.80831739999999996</v>
      </c>
      <c r="N154" t="s">
        <v>397</v>
      </c>
      <c r="O154">
        <v>3.1465436999999999E-2</v>
      </c>
      <c r="P154" t="s">
        <v>45</v>
      </c>
      <c r="Q154" s="4">
        <v>2.3756929999999999E-2</v>
      </c>
      <c r="R154" t="s">
        <v>673</v>
      </c>
      <c r="S154">
        <v>0.73758359999999989</v>
      </c>
      <c r="T154" t="s">
        <v>184</v>
      </c>
      <c r="U154">
        <v>9.2760490000000001E-2</v>
      </c>
      <c r="V154" t="s">
        <v>182</v>
      </c>
      <c r="W154">
        <v>4.7009309999999999E-2</v>
      </c>
    </row>
    <row r="155" spans="1:23" x14ac:dyDescent="0.25">
      <c r="A155" s="3" t="str">
        <f>HYPERLINK("http://ids.si.edu/ids/deliveryService?id=NMAH-2005-16850","NMAH-2005-16850")</f>
        <v>NMAH-2005-16850</v>
      </c>
      <c r="B155" s="3" t="s">
        <v>674</v>
      </c>
      <c r="C155" s="3">
        <v>746493</v>
      </c>
      <c r="D155" s="3" t="s">
        <v>424</v>
      </c>
      <c r="E155" s="4" t="s">
        <v>675</v>
      </c>
      <c r="F155" t="s">
        <v>676</v>
      </c>
      <c r="G155">
        <v>0.80525672435760498</v>
      </c>
      <c r="H155" t="s">
        <v>677</v>
      </c>
      <c r="I155">
        <v>0.7969096302986145</v>
      </c>
      <c r="J155" t="s">
        <v>208</v>
      </c>
      <c r="K155" s="4">
        <v>0.71515905857086182</v>
      </c>
      <c r="L155" t="s">
        <v>203</v>
      </c>
      <c r="M155">
        <v>0.77561206000000005</v>
      </c>
      <c r="N155" t="s">
        <v>209</v>
      </c>
      <c r="O155">
        <v>8.0005969999999996E-2</v>
      </c>
      <c r="P155" t="s">
        <v>678</v>
      </c>
      <c r="Q155" s="4">
        <v>7.5825829999999997E-2</v>
      </c>
      <c r="R155" t="s">
        <v>203</v>
      </c>
      <c r="S155">
        <v>0.69922569999999995</v>
      </c>
      <c r="T155" t="s">
        <v>209</v>
      </c>
      <c r="U155">
        <v>5.3808674000000001E-2</v>
      </c>
      <c r="V155" t="s">
        <v>190</v>
      </c>
      <c r="W155">
        <v>2.7763866000000002E-2</v>
      </c>
    </row>
    <row r="156" spans="1:23" x14ac:dyDescent="0.25">
      <c r="A156" s="3" t="str">
        <f>HYPERLINK("http://ids.si.edu/ids/deliveryService?id=NMAH-AHB2018q013053","NMAH-AHB2018q013053")</f>
        <v>NMAH-AHB2018q013053</v>
      </c>
      <c r="B156" s="3" t="s">
        <v>679</v>
      </c>
      <c r="C156" s="3">
        <v>1016083</v>
      </c>
      <c r="D156" s="3" t="s">
        <v>424</v>
      </c>
      <c r="E156" s="4" t="s">
        <v>425</v>
      </c>
      <c r="F156" t="s">
        <v>449</v>
      </c>
      <c r="G156">
        <v>0.91928279399871826</v>
      </c>
      <c r="H156" t="s">
        <v>61</v>
      </c>
      <c r="I156">
        <v>0.85248786211013794</v>
      </c>
      <c r="J156" t="s">
        <v>680</v>
      </c>
      <c r="K156" s="4">
        <v>0.79691404104232788</v>
      </c>
      <c r="L156" t="s">
        <v>65</v>
      </c>
      <c r="M156">
        <v>0.67201184999999997</v>
      </c>
      <c r="N156" t="s">
        <v>29</v>
      </c>
      <c r="O156">
        <v>0.107826665</v>
      </c>
      <c r="P156" t="s">
        <v>129</v>
      </c>
      <c r="Q156" s="4">
        <v>3.1664904000000001E-2</v>
      </c>
      <c r="R156" t="s">
        <v>65</v>
      </c>
      <c r="S156">
        <v>0.44494337</v>
      </c>
      <c r="T156" t="s">
        <v>681</v>
      </c>
      <c r="U156">
        <v>4.7435734000000007E-2</v>
      </c>
      <c r="V156" t="s">
        <v>682</v>
      </c>
      <c r="W156">
        <v>3.8377426999999999E-2</v>
      </c>
    </row>
    <row r="157" spans="1:23" x14ac:dyDescent="0.25">
      <c r="A157" s="3" t="str">
        <f>HYPERLINK("http://ids.si.edu/ids/deliveryService?id=NMAH-AHB2017q074592","NMAH-AHB2017q074592")</f>
        <v>NMAH-AHB2017q074592</v>
      </c>
      <c r="B157" s="3" t="s">
        <v>683</v>
      </c>
      <c r="C157" s="3">
        <v>606029</v>
      </c>
      <c r="D157" s="3" t="s">
        <v>424</v>
      </c>
      <c r="E157" s="4" t="s">
        <v>684</v>
      </c>
      <c r="F157" t="s">
        <v>396</v>
      </c>
      <c r="G157">
        <v>0.86206114292144775</v>
      </c>
      <c r="H157" t="s">
        <v>256</v>
      </c>
      <c r="I157">
        <v>0.85390579700469971</v>
      </c>
      <c r="J157" t="s">
        <v>179</v>
      </c>
      <c r="K157" s="4">
        <v>0.78293013572692871</v>
      </c>
      <c r="L157" t="s">
        <v>390</v>
      </c>
      <c r="M157">
        <v>0.62181043999999996</v>
      </c>
      <c r="N157" t="s">
        <v>260</v>
      </c>
      <c r="O157">
        <v>5.4905432999999997E-2</v>
      </c>
      <c r="P157" t="s">
        <v>398</v>
      </c>
      <c r="Q157" s="4">
        <v>4.7838292999999997E-2</v>
      </c>
      <c r="R157" t="s">
        <v>398</v>
      </c>
      <c r="S157">
        <v>0.49829014999999999</v>
      </c>
      <c r="T157" t="s">
        <v>685</v>
      </c>
      <c r="U157">
        <v>8.7053939999999996E-2</v>
      </c>
      <c r="V157" t="s">
        <v>184</v>
      </c>
      <c r="W157">
        <v>7.2485334999999998E-2</v>
      </c>
    </row>
    <row r="158" spans="1:23" x14ac:dyDescent="0.25">
      <c r="A158" s="3" t="str">
        <f>HYPERLINK("http://ids.si.edu/ids/deliveryService?id=NMAH-AHB2006q25312","NMAH-AHB2006q25312")</f>
        <v>NMAH-AHB2006q25312</v>
      </c>
      <c r="B158" s="3" t="s">
        <v>686</v>
      </c>
      <c r="C158" s="3">
        <v>1281052</v>
      </c>
      <c r="D158" s="3" t="s">
        <v>424</v>
      </c>
      <c r="E158" s="4" t="s">
        <v>425</v>
      </c>
      <c r="F158" t="s">
        <v>440</v>
      </c>
      <c r="G158">
        <v>0.94920933246612549</v>
      </c>
      <c r="H158" t="s">
        <v>441</v>
      </c>
      <c r="I158">
        <v>0.6757805347442627</v>
      </c>
      <c r="J158" t="s">
        <v>458</v>
      </c>
      <c r="K158" s="4">
        <v>0.64986580610275269</v>
      </c>
      <c r="L158" t="s">
        <v>303</v>
      </c>
      <c r="M158">
        <v>0.75744104000000001</v>
      </c>
      <c r="N158" t="s">
        <v>459</v>
      </c>
      <c r="O158">
        <v>1.8882485000000001E-2</v>
      </c>
      <c r="P158" t="s">
        <v>501</v>
      </c>
      <c r="Q158" s="4">
        <v>1.8197550999999999E-2</v>
      </c>
      <c r="R158" t="s">
        <v>303</v>
      </c>
      <c r="S158">
        <v>0.16905469000000001</v>
      </c>
      <c r="T158" t="s">
        <v>502</v>
      </c>
      <c r="U158">
        <v>7.1770139999999996E-2</v>
      </c>
      <c r="V158" t="s">
        <v>461</v>
      </c>
      <c r="W158">
        <v>4.4494121999999997E-2</v>
      </c>
    </row>
    <row r="159" spans="1:23" x14ac:dyDescent="0.25">
      <c r="A159" s="3" t="str">
        <f>HYPERLINK("http://ids.si.edu/ids/deliveryService?id=NMAH-AHB2012q50163","NMAH-AHB2012q50163")</f>
        <v>NMAH-AHB2012q50163</v>
      </c>
      <c r="B159" s="3" t="s">
        <v>687</v>
      </c>
      <c r="C159" s="3">
        <v>672948</v>
      </c>
      <c r="D159" s="3" t="s">
        <v>424</v>
      </c>
      <c r="E159" s="4" t="s">
        <v>425</v>
      </c>
      <c r="F159" t="s">
        <v>440</v>
      </c>
      <c r="G159">
        <v>0.71559900045394897</v>
      </c>
      <c r="H159" t="s">
        <v>441</v>
      </c>
      <c r="I159">
        <v>0.6757805347442627</v>
      </c>
      <c r="J159" t="s">
        <v>607</v>
      </c>
      <c r="K159" s="4">
        <v>0.67059618234634399</v>
      </c>
      <c r="L159" t="s">
        <v>303</v>
      </c>
      <c r="M159">
        <v>0.68222919999999998</v>
      </c>
      <c r="N159" t="s">
        <v>529</v>
      </c>
      <c r="O159">
        <v>0.18295895000000001</v>
      </c>
      <c r="P159" t="s">
        <v>528</v>
      </c>
      <c r="Q159" s="4">
        <v>8.5229020000000003E-2</v>
      </c>
      <c r="R159" t="s">
        <v>303</v>
      </c>
      <c r="S159">
        <v>0.25118557000000002</v>
      </c>
      <c r="T159" t="s">
        <v>688</v>
      </c>
      <c r="U159">
        <v>5.6112487000000003E-2</v>
      </c>
      <c r="V159" t="s">
        <v>689</v>
      </c>
      <c r="W159">
        <v>3.5978940000000001E-2</v>
      </c>
    </row>
    <row r="160" spans="1:23" x14ac:dyDescent="0.25">
      <c r="A160" s="3" t="str">
        <f>HYPERLINK("http://ids.si.edu/ids/deliveryService?id=NMAH-2003-36149","NMAH-2003-36149")</f>
        <v>NMAH-2003-36149</v>
      </c>
      <c r="B160" s="3" t="s">
        <v>690</v>
      </c>
      <c r="C160" s="3">
        <v>834664</v>
      </c>
      <c r="D160" s="3" t="s">
        <v>424</v>
      </c>
      <c r="E160" s="4" t="s">
        <v>691</v>
      </c>
      <c r="F160" t="s">
        <v>692</v>
      </c>
      <c r="G160">
        <v>0.83387219905853271</v>
      </c>
      <c r="H160" t="s">
        <v>693</v>
      </c>
      <c r="I160">
        <v>0.82918322086334229</v>
      </c>
      <c r="J160" t="s">
        <v>694</v>
      </c>
      <c r="K160" s="4">
        <v>0.79985713958740234</v>
      </c>
      <c r="L160" t="s">
        <v>184</v>
      </c>
      <c r="M160">
        <v>0.25086009999999997</v>
      </c>
      <c r="N160" t="s">
        <v>571</v>
      </c>
      <c r="O160">
        <v>0.18429086</v>
      </c>
      <c r="P160" t="s">
        <v>599</v>
      </c>
      <c r="Q160" s="4">
        <v>0.12450493</v>
      </c>
      <c r="R160" t="s">
        <v>516</v>
      </c>
      <c r="S160">
        <v>0.33004759999999989</v>
      </c>
      <c r="T160" t="s">
        <v>93</v>
      </c>
      <c r="U160">
        <v>0.25642702000000001</v>
      </c>
      <c r="V160" t="s">
        <v>673</v>
      </c>
      <c r="W160">
        <v>7.2086445999999998E-2</v>
      </c>
    </row>
    <row r="161" spans="1:23" x14ac:dyDescent="0.25">
      <c r="A161" s="3" t="str">
        <f>HYPERLINK("http://ids.si.edu/ids/deliveryService?id=NMAH-ET2017-00384-000001","NMAH-ET2017-00384-000001")</f>
        <v>NMAH-ET2017-00384-000001</v>
      </c>
      <c r="B161" s="3" t="s">
        <v>695</v>
      </c>
      <c r="C161" s="3">
        <v>1845094</v>
      </c>
      <c r="D161" s="3" t="s">
        <v>424</v>
      </c>
      <c r="E161" s="4" t="s">
        <v>696</v>
      </c>
      <c r="F161" t="s">
        <v>697</v>
      </c>
      <c r="G161">
        <v>0.99671280384063721</v>
      </c>
      <c r="H161" t="s">
        <v>698</v>
      </c>
      <c r="I161">
        <v>0.93804663419723511</v>
      </c>
      <c r="J161" t="s">
        <v>699</v>
      </c>
      <c r="K161" s="4">
        <v>0.87838733196258545</v>
      </c>
      <c r="L161" t="s">
        <v>700</v>
      </c>
      <c r="M161">
        <v>0.54536145999999996</v>
      </c>
      <c r="N161" t="s">
        <v>701</v>
      </c>
      <c r="O161">
        <v>0.20986234000000001</v>
      </c>
      <c r="P161" t="s">
        <v>702</v>
      </c>
      <c r="Q161" s="4">
        <v>9.1873389999999999E-2</v>
      </c>
      <c r="R161" t="s">
        <v>700</v>
      </c>
      <c r="S161">
        <v>0.33351818</v>
      </c>
      <c r="T161" t="s">
        <v>702</v>
      </c>
      <c r="U161">
        <v>9.4374150000000004E-2</v>
      </c>
      <c r="V161" t="s">
        <v>703</v>
      </c>
      <c r="W161">
        <v>8.8936015999999993E-2</v>
      </c>
    </row>
    <row r="162" spans="1:23" x14ac:dyDescent="0.25">
      <c r="A162" s="3" t="str">
        <f>HYPERLINK("http://ids.si.edu/ids/deliveryService?id=NMAH-AHB2006q22483","NMAH-AHB2006q22483")</f>
        <v>NMAH-AHB2006q22483</v>
      </c>
      <c r="B162" s="3" t="s">
        <v>704</v>
      </c>
      <c r="C162" s="3">
        <v>668143</v>
      </c>
      <c r="D162" s="3" t="s">
        <v>424</v>
      </c>
      <c r="E162" s="4" t="s">
        <v>425</v>
      </c>
      <c r="F162" t="s">
        <v>132</v>
      </c>
      <c r="G162">
        <v>0.92490756511688232</v>
      </c>
      <c r="H162" t="s">
        <v>265</v>
      </c>
      <c r="I162">
        <v>0.90329968929290771</v>
      </c>
      <c r="J162" t="s">
        <v>62</v>
      </c>
      <c r="K162" s="4">
        <v>0.82586628198623657</v>
      </c>
      <c r="L162" t="s">
        <v>65</v>
      </c>
      <c r="M162">
        <v>0.84804069999999987</v>
      </c>
      <c r="N162" t="s">
        <v>149</v>
      </c>
      <c r="O162">
        <v>2.3678785000000001E-2</v>
      </c>
      <c r="P162" t="s">
        <v>79</v>
      </c>
      <c r="Q162" s="4">
        <v>1.6903706000000001E-2</v>
      </c>
      <c r="R162" t="s">
        <v>65</v>
      </c>
      <c r="S162">
        <v>0.15770853000000001</v>
      </c>
      <c r="T162" t="s">
        <v>705</v>
      </c>
      <c r="U162">
        <v>0.15315751999999999</v>
      </c>
      <c r="V162" t="s">
        <v>706</v>
      </c>
      <c r="W162">
        <v>0.10362879</v>
      </c>
    </row>
    <row r="163" spans="1:23" x14ac:dyDescent="0.25">
      <c r="A163" s="3" t="str">
        <f>HYPERLINK("http://ids.si.edu/ids/deliveryService?id=NMAH-AHB2017q074369","NMAH-AHB2017q074369")</f>
        <v>NMAH-AHB2017q074369</v>
      </c>
      <c r="B163" s="3" t="s">
        <v>707</v>
      </c>
      <c r="C163" s="3">
        <v>606022</v>
      </c>
      <c r="D163" s="3" t="s">
        <v>424</v>
      </c>
      <c r="E163" s="4" t="s">
        <v>684</v>
      </c>
      <c r="F163" t="s">
        <v>178</v>
      </c>
      <c r="G163">
        <v>0.95451146364212036</v>
      </c>
      <c r="H163" t="s">
        <v>179</v>
      </c>
      <c r="I163">
        <v>0.9212457537651062</v>
      </c>
      <c r="J163" t="s">
        <v>419</v>
      </c>
      <c r="K163" s="4">
        <v>0.79926687479019165</v>
      </c>
      <c r="L163" t="s">
        <v>390</v>
      </c>
      <c r="M163">
        <v>0.83961105000000003</v>
      </c>
      <c r="N163" t="s">
        <v>182</v>
      </c>
      <c r="O163">
        <v>2.5625243999999998E-2</v>
      </c>
      <c r="P163" t="s">
        <v>177</v>
      </c>
      <c r="Q163" s="4">
        <v>2.4124765999999999E-2</v>
      </c>
      <c r="R163" t="s">
        <v>566</v>
      </c>
      <c r="S163">
        <v>0.30438468000000002</v>
      </c>
      <c r="T163" t="s">
        <v>182</v>
      </c>
      <c r="U163">
        <v>0.1140868</v>
      </c>
      <c r="V163" t="s">
        <v>177</v>
      </c>
      <c r="W163">
        <v>0.110200986</v>
      </c>
    </row>
    <row r="164" spans="1:23" x14ac:dyDescent="0.25">
      <c r="A164" s="3" t="str">
        <f>HYPERLINK("http://ids.si.edu/ids/deliveryService?id=NMAH-AHB2017q009062","NMAH-AHB2017q009062")</f>
        <v>NMAH-AHB2017q009062</v>
      </c>
      <c r="B164" s="3" t="s">
        <v>708</v>
      </c>
      <c r="C164" s="3">
        <v>1247704</v>
      </c>
      <c r="D164" s="3" t="s">
        <v>424</v>
      </c>
      <c r="E164" s="4" t="s">
        <v>425</v>
      </c>
      <c r="F164" t="s">
        <v>449</v>
      </c>
      <c r="G164">
        <v>0.71833080053329468</v>
      </c>
      <c r="H164" t="s">
        <v>604</v>
      </c>
      <c r="I164">
        <v>0.64178729057312012</v>
      </c>
      <c r="L164" t="s">
        <v>65</v>
      </c>
      <c r="M164">
        <v>0.92656930000000015</v>
      </c>
      <c r="N164" t="s">
        <v>129</v>
      </c>
      <c r="O164">
        <v>4.9766409999999997E-2</v>
      </c>
      <c r="P164" t="s">
        <v>66</v>
      </c>
      <c r="Q164" s="4">
        <v>6.4382409999999999E-3</v>
      </c>
      <c r="R164" t="s">
        <v>65</v>
      </c>
      <c r="S164">
        <v>0.66116609999999998</v>
      </c>
      <c r="T164" t="s">
        <v>129</v>
      </c>
      <c r="U164">
        <v>6.1795093000000002E-2</v>
      </c>
      <c r="V164" t="s">
        <v>77</v>
      </c>
      <c r="W164">
        <v>2.5737189000000001E-2</v>
      </c>
    </row>
    <row r="165" spans="1:23" x14ac:dyDescent="0.25">
      <c r="A165" s="3" t="str">
        <f>HYPERLINK("http://ids.si.edu/ids/deliveryService?id=NMAH-2001-8575","NMAH-2001-8575")</f>
        <v>NMAH-2001-8575</v>
      </c>
      <c r="B165" s="3" t="s">
        <v>709</v>
      </c>
      <c r="C165" s="3">
        <v>993388</v>
      </c>
      <c r="D165" s="3" t="s">
        <v>424</v>
      </c>
      <c r="E165" s="4" t="s">
        <v>469</v>
      </c>
      <c r="F165" t="s">
        <v>91</v>
      </c>
      <c r="G165">
        <v>0.88283330202102661</v>
      </c>
      <c r="H165" t="s">
        <v>90</v>
      </c>
      <c r="I165">
        <v>0.61177396774291992</v>
      </c>
      <c r="J165" t="s">
        <v>50</v>
      </c>
      <c r="K165" s="4">
        <v>0.5114516019821167</v>
      </c>
      <c r="L165" t="s">
        <v>93</v>
      </c>
      <c r="M165">
        <v>0.20925379</v>
      </c>
      <c r="N165" t="s">
        <v>673</v>
      </c>
      <c r="O165">
        <v>0.12417614</v>
      </c>
      <c r="P165" t="s">
        <v>149</v>
      </c>
      <c r="Q165" s="4">
        <v>0.11562166</v>
      </c>
      <c r="R165" t="s">
        <v>93</v>
      </c>
      <c r="S165">
        <v>0.50904316000000005</v>
      </c>
      <c r="T165" t="s">
        <v>673</v>
      </c>
      <c r="U165">
        <v>0.13415996999999999</v>
      </c>
      <c r="V165" t="s">
        <v>149</v>
      </c>
      <c r="W165">
        <v>7.1012154000000008E-2</v>
      </c>
    </row>
    <row r="166" spans="1:23" x14ac:dyDescent="0.25">
      <c r="A166" s="3" t="str">
        <f>HYPERLINK("http://ids.si.edu/ids/deliveryService?id=NMAH-AHB2006q22302","NMAH-AHB2006q22302")</f>
        <v>NMAH-AHB2006q22302</v>
      </c>
      <c r="B166" s="3" t="s">
        <v>710</v>
      </c>
      <c r="C166" s="3">
        <v>668362</v>
      </c>
      <c r="D166" s="3" t="s">
        <v>424</v>
      </c>
      <c r="E166" s="4" t="s">
        <v>425</v>
      </c>
      <c r="F166" t="s">
        <v>486</v>
      </c>
      <c r="G166">
        <v>0.73256653547286987</v>
      </c>
      <c r="H166" t="s">
        <v>711</v>
      </c>
      <c r="I166">
        <v>0.55556184053421021</v>
      </c>
      <c r="J166" t="s">
        <v>368</v>
      </c>
      <c r="K166" s="4">
        <v>0.55422341823577881</v>
      </c>
      <c r="L166" t="s">
        <v>65</v>
      </c>
      <c r="M166">
        <v>0.40370333000000003</v>
      </c>
      <c r="N166" t="s">
        <v>129</v>
      </c>
      <c r="O166">
        <v>0.23198788000000001</v>
      </c>
      <c r="P166" t="s">
        <v>79</v>
      </c>
      <c r="Q166" s="4">
        <v>0.10669188</v>
      </c>
      <c r="R166" t="s">
        <v>253</v>
      </c>
      <c r="S166">
        <v>0.15824462</v>
      </c>
      <c r="T166" t="s">
        <v>66</v>
      </c>
      <c r="U166">
        <v>0.123225644</v>
      </c>
      <c r="V166" t="s">
        <v>209</v>
      </c>
      <c r="W166">
        <v>9.8844660000000001E-2</v>
      </c>
    </row>
    <row r="167" spans="1:23" x14ac:dyDescent="0.25">
      <c r="A167" s="3" t="str">
        <f>HYPERLINK("http://ids.si.edu/ids/deliveryService?id=NMAH-AHB2006q23664","NMAH-AHB2006q23664")</f>
        <v>NMAH-AHB2006q23664</v>
      </c>
      <c r="B167" s="3" t="s">
        <v>712</v>
      </c>
      <c r="C167" s="3">
        <v>674538</v>
      </c>
      <c r="D167" s="3" t="s">
        <v>424</v>
      </c>
      <c r="E167" s="4" t="s">
        <v>425</v>
      </c>
      <c r="F167" t="s">
        <v>440</v>
      </c>
      <c r="G167">
        <v>0.92447632551193237</v>
      </c>
      <c r="H167" t="s">
        <v>441</v>
      </c>
      <c r="I167">
        <v>0.6757805347442627</v>
      </c>
      <c r="J167" t="s">
        <v>301</v>
      </c>
      <c r="K167" s="4">
        <v>0.51647579669952393</v>
      </c>
      <c r="L167" t="s">
        <v>303</v>
      </c>
      <c r="M167">
        <v>0.31918180000000002</v>
      </c>
      <c r="N167" t="s">
        <v>688</v>
      </c>
      <c r="O167">
        <v>5.5499479999999997E-2</v>
      </c>
      <c r="P167" t="s">
        <v>501</v>
      </c>
      <c r="Q167" s="4">
        <v>4.9633045000000001E-2</v>
      </c>
      <c r="R167" t="s">
        <v>303</v>
      </c>
      <c r="S167">
        <v>0.16107146</v>
      </c>
      <c r="T167" t="s">
        <v>502</v>
      </c>
      <c r="U167">
        <v>8.5555463999999998E-2</v>
      </c>
      <c r="V167" t="s">
        <v>443</v>
      </c>
      <c r="W167">
        <v>7.8801040000000003E-2</v>
      </c>
    </row>
    <row r="168" spans="1:23" x14ac:dyDescent="0.25">
      <c r="A168" s="3" t="str">
        <f>HYPERLINK("http://ids.si.edu/ids/deliveryService?id=NMAH-AHB2006q23538","NMAH-AHB2006q23538")</f>
        <v>NMAH-AHB2006q23538</v>
      </c>
      <c r="B168" s="3" t="s">
        <v>713</v>
      </c>
      <c r="C168" s="3">
        <v>662641</v>
      </c>
      <c r="D168" s="3" t="s">
        <v>424</v>
      </c>
      <c r="E168" s="4" t="s">
        <v>425</v>
      </c>
      <c r="F168" t="s">
        <v>440</v>
      </c>
      <c r="G168">
        <v>0.89268845319747925</v>
      </c>
      <c r="H168" t="s">
        <v>607</v>
      </c>
      <c r="I168">
        <v>0.83886390924453735</v>
      </c>
      <c r="J168" t="s">
        <v>441</v>
      </c>
      <c r="K168" s="4">
        <v>0.77101373672485352</v>
      </c>
      <c r="L168" t="s">
        <v>303</v>
      </c>
      <c r="M168">
        <v>0.81507545999999997</v>
      </c>
      <c r="N168" t="s">
        <v>528</v>
      </c>
      <c r="O168">
        <v>4.4634239999999999E-2</v>
      </c>
      <c r="P168" t="s">
        <v>516</v>
      </c>
      <c r="Q168" s="4">
        <v>1.7868658999999999E-2</v>
      </c>
      <c r="R168" t="s">
        <v>303</v>
      </c>
      <c r="S168">
        <v>0.30823666</v>
      </c>
      <c r="T168" t="s">
        <v>502</v>
      </c>
      <c r="U168">
        <v>4.5365009999999997E-2</v>
      </c>
      <c r="V168" t="s">
        <v>461</v>
      </c>
      <c r="W168">
        <v>3.3963867000000002E-2</v>
      </c>
    </row>
    <row r="169" spans="1:23" x14ac:dyDescent="0.25">
      <c r="A169" s="3" t="str">
        <f>HYPERLINK("http://ids.si.edu/ids/deliveryService?id=NMAH-AHB2012q50035","NMAH-AHB2012q50035")</f>
        <v>NMAH-AHB2012q50035</v>
      </c>
      <c r="B169" s="3" t="s">
        <v>714</v>
      </c>
      <c r="C169" s="3">
        <v>672972</v>
      </c>
      <c r="D169" s="3" t="s">
        <v>424</v>
      </c>
      <c r="E169" s="4" t="s">
        <v>425</v>
      </c>
      <c r="F169" t="s">
        <v>440</v>
      </c>
      <c r="G169">
        <v>0.74872004985809326</v>
      </c>
      <c r="H169" t="s">
        <v>441</v>
      </c>
      <c r="I169">
        <v>0.6757805347442627</v>
      </c>
      <c r="J169" t="s">
        <v>615</v>
      </c>
      <c r="K169" s="4">
        <v>0.60989159345626831</v>
      </c>
      <c r="L169" t="s">
        <v>529</v>
      </c>
      <c r="M169">
        <v>0.76578533999999998</v>
      </c>
      <c r="N169" t="s">
        <v>303</v>
      </c>
      <c r="O169">
        <v>7.9506339999999995E-2</v>
      </c>
      <c r="P169" t="s">
        <v>528</v>
      </c>
      <c r="Q169" s="4">
        <v>7.4914640000000005E-2</v>
      </c>
      <c r="R169" t="s">
        <v>303</v>
      </c>
      <c r="S169">
        <v>0.19085126999999999</v>
      </c>
      <c r="T169" t="s">
        <v>528</v>
      </c>
      <c r="U169">
        <v>0.10641642</v>
      </c>
      <c r="V169" t="s">
        <v>529</v>
      </c>
      <c r="W169">
        <v>8.1522410000000003E-2</v>
      </c>
    </row>
    <row r="170" spans="1:23" x14ac:dyDescent="0.25">
      <c r="A170" s="3" t="str">
        <f>HYPERLINK("http://ids.si.edu/ids/deliveryService?id=NMAH-AHB2006q22226","NMAH-AHB2006q22226")</f>
        <v>NMAH-AHB2006q22226</v>
      </c>
      <c r="B170" s="3" t="s">
        <v>715</v>
      </c>
      <c r="C170" s="3">
        <v>668355</v>
      </c>
      <c r="D170" s="3" t="s">
        <v>424</v>
      </c>
      <c r="E170" s="4" t="s">
        <v>425</v>
      </c>
      <c r="F170" t="s">
        <v>112</v>
      </c>
      <c r="G170">
        <v>0.68572378158569336</v>
      </c>
      <c r="L170" t="s">
        <v>65</v>
      </c>
      <c r="M170">
        <v>0.60062219999999999</v>
      </c>
      <c r="N170" t="s">
        <v>66</v>
      </c>
      <c r="O170">
        <v>9.9573165000000005E-2</v>
      </c>
      <c r="P170" t="s">
        <v>79</v>
      </c>
      <c r="Q170" s="4">
        <v>7.8662190000000007E-2</v>
      </c>
      <c r="R170" t="s">
        <v>398</v>
      </c>
      <c r="S170">
        <v>0.26904103000000001</v>
      </c>
      <c r="T170" t="s">
        <v>66</v>
      </c>
      <c r="U170">
        <v>7.3839489999999994E-2</v>
      </c>
      <c r="V170" t="s">
        <v>65</v>
      </c>
      <c r="W170">
        <v>7.2875850000000006E-2</v>
      </c>
    </row>
    <row r="171" spans="1:23" x14ac:dyDescent="0.25">
      <c r="A171" s="3" t="str">
        <f>HYPERLINK("http://ids.si.edu/ids/deliveryService?id=NMAH-AHB2016q040186","NMAH-AHB2016q040186")</f>
        <v>NMAH-AHB2016q040186</v>
      </c>
      <c r="B171" s="3" t="s">
        <v>716</v>
      </c>
      <c r="C171" s="3">
        <v>679350</v>
      </c>
      <c r="D171" s="3" t="s">
        <v>424</v>
      </c>
      <c r="E171" s="4" t="s">
        <v>717</v>
      </c>
      <c r="F171" t="s">
        <v>543</v>
      </c>
      <c r="G171">
        <v>0.99001467227935791</v>
      </c>
      <c r="H171" t="s">
        <v>433</v>
      </c>
      <c r="I171">
        <v>0.97707819938659668</v>
      </c>
      <c r="J171" t="s">
        <v>535</v>
      </c>
      <c r="K171" s="4">
        <v>0.94757372140884399</v>
      </c>
      <c r="L171" t="s">
        <v>174</v>
      </c>
      <c r="M171">
        <v>0.81791680000000011</v>
      </c>
      <c r="N171" t="s">
        <v>536</v>
      </c>
      <c r="O171">
        <v>6.5484689999999998E-2</v>
      </c>
      <c r="P171" t="s">
        <v>718</v>
      </c>
      <c r="Q171" s="4">
        <v>3.6616865999999998E-2</v>
      </c>
      <c r="R171" t="s">
        <v>174</v>
      </c>
      <c r="S171">
        <v>0.92674977000000003</v>
      </c>
      <c r="T171" t="s">
        <v>536</v>
      </c>
      <c r="U171">
        <v>2.9635689999999999E-2</v>
      </c>
      <c r="V171" t="s">
        <v>544</v>
      </c>
      <c r="W171">
        <v>1.6800869999999999E-2</v>
      </c>
    </row>
    <row r="172" spans="1:23" x14ac:dyDescent="0.25">
      <c r="A172" s="3" t="str">
        <f>HYPERLINK("http://ids.si.edu/ids/deliveryService?id=NMAH-AHB2016q043670","NMAH-AHB2016q043670")</f>
        <v>NMAH-AHB2016q043670</v>
      </c>
      <c r="B172" s="3" t="s">
        <v>719</v>
      </c>
      <c r="C172" s="3">
        <v>608270</v>
      </c>
      <c r="D172" s="3" t="s">
        <v>424</v>
      </c>
      <c r="E172" s="4" t="s">
        <v>174</v>
      </c>
      <c r="F172" t="s">
        <v>543</v>
      </c>
      <c r="G172">
        <v>0.98666781187057495</v>
      </c>
      <c r="H172" t="s">
        <v>433</v>
      </c>
      <c r="I172">
        <v>0.93685472011566162</v>
      </c>
      <c r="J172" t="s">
        <v>720</v>
      </c>
      <c r="K172" s="4">
        <v>0.93447178602218628</v>
      </c>
      <c r="L172" t="s">
        <v>174</v>
      </c>
      <c r="M172">
        <v>0.97159249999999997</v>
      </c>
      <c r="N172" t="s">
        <v>544</v>
      </c>
      <c r="O172">
        <v>1.3864614000000001E-2</v>
      </c>
      <c r="P172" t="s">
        <v>545</v>
      </c>
      <c r="Q172" s="4">
        <v>2.5865838000000002E-3</v>
      </c>
      <c r="R172" t="s">
        <v>174</v>
      </c>
      <c r="S172">
        <v>0.68219459999999998</v>
      </c>
      <c r="T172" t="s">
        <v>544</v>
      </c>
      <c r="U172">
        <v>7.6878235000000003E-2</v>
      </c>
      <c r="V172" t="s">
        <v>545</v>
      </c>
      <c r="W172">
        <v>2.6499287999999999E-2</v>
      </c>
    </row>
    <row r="173" spans="1:23" x14ac:dyDescent="0.25">
      <c r="A173" s="3" t="str">
        <f>HYPERLINK("http://ids.si.edu/ids/deliveryService?id=NMAH-AHB2017q009568","NMAH-AHB2017q009568")</f>
        <v>NMAH-AHB2017q009568</v>
      </c>
      <c r="B173" s="3" t="s">
        <v>721</v>
      </c>
      <c r="C173" s="3">
        <v>1807642</v>
      </c>
      <c r="D173" s="3" t="s">
        <v>424</v>
      </c>
      <c r="E173" s="4" t="s">
        <v>425</v>
      </c>
      <c r="F173" t="s">
        <v>126</v>
      </c>
      <c r="G173">
        <v>0.90851187705993652</v>
      </c>
      <c r="H173" t="s">
        <v>112</v>
      </c>
      <c r="I173">
        <v>0.84106016159057617</v>
      </c>
      <c r="J173" t="s">
        <v>449</v>
      </c>
      <c r="K173" s="4">
        <v>0.77375364303588867</v>
      </c>
      <c r="L173" t="s">
        <v>65</v>
      </c>
      <c r="M173">
        <v>0.98549730000000002</v>
      </c>
      <c r="N173" t="s">
        <v>129</v>
      </c>
      <c r="O173">
        <v>3.8634678E-3</v>
      </c>
      <c r="P173" t="s">
        <v>484</v>
      </c>
      <c r="Q173" s="4">
        <v>1.6163338E-3</v>
      </c>
      <c r="R173" t="s">
        <v>65</v>
      </c>
      <c r="S173">
        <v>0.76148439999999995</v>
      </c>
      <c r="T173" t="s">
        <v>129</v>
      </c>
      <c r="U173">
        <v>0.21183908000000001</v>
      </c>
      <c r="V173" t="s">
        <v>29</v>
      </c>
      <c r="W173">
        <v>4.1089756000000002E-3</v>
      </c>
    </row>
    <row r="174" spans="1:23" x14ac:dyDescent="0.25">
      <c r="A174" s="3" t="str">
        <f>HYPERLINK("http://ids.si.edu/ids/deliveryService?id=NMAH-AHB2006q23874","NMAH-AHB2006q23874")</f>
        <v>NMAH-AHB2006q23874</v>
      </c>
      <c r="B174" s="3" t="s">
        <v>722</v>
      </c>
      <c r="C174" s="3">
        <v>672852</v>
      </c>
      <c r="D174" s="3" t="s">
        <v>424</v>
      </c>
      <c r="E174" s="4" t="s">
        <v>425</v>
      </c>
      <c r="F174" t="s">
        <v>440</v>
      </c>
      <c r="G174">
        <v>0.94472318887710571</v>
      </c>
      <c r="H174" t="s">
        <v>441</v>
      </c>
      <c r="I174">
        <v>0.6757805347442627</v>
      </c>
      <c r="J174" t="s">
        <v>301</v>
      </c>
      <c r="K174" s="4">
        <v>0.59727400541305542</v>
      </c>
      <c r="L174" t="s">
        <v>303</v>
      </c>
      <c r="M174">
        <v>0.86697209999999991</v>
      </c>
      <c r="N174" t="s">
        <v>460</v>
      </c>
      <c r="O174">
        <v>3.209861E-2</v>
      </c>
      <c r="P174" t="s">
        <v>528</v>
      </c>
      <c r="Q174" s="4">
        <v>1.4051223E-2</v>
      </c>
      <c r="R174" t="s">
        <v>303</v>
      </c>
      <c r="S174">
        <v>0.37708353999999999</v>
      </c>
      <c r="T174" t="s">
        <v>233</v>
      </c>
      <c r="U174">
        <v>0.27239554999999999</v>
      </c>
      <c r="V174" t="s">
        <v>502</v>
      </c>
      <c r="W174">
        <v>0.18249895999999999</v>
      </c>
    </row>
    <row r="175" spans="1:23" x14ac:dyDescent="0.25">
      <c r="A175" s="3" t="str">
        <f>HYPERLINK("http://ids.si.edu/ids/deliveryService?id=NMAH-AHB2006q25189","NMAH-AHB2006q25189")</f>
        <v>NMAH-AHB2006q25189</v>
      </c>
      <c r="B175" s="3" t="s">
        <v>723</v>
      </c>
      <c r="C175" s="3">
        <v>1213542</v>
      </c>
      <c r="D175" s="3" t="s">
        <v>424</v>
      </c>
      <c r="E175" s="4" t="s">
        <v>425</v>
      </c>
      <c r="F175" t="s">
        <v>617</v>
      </c>
      <c r="G175">
        <v>0.88925772905349731</v>
      </c>
      <c r="H175" t="s">
        <v>724</v>
      </c>
      <c r="I175">
        <v>0.86286979913711548</v>
      </c>
      <c r="J175" t="s">
        <v>725</v>
      </c>
      <c r="K175" s="4">
        <v>0.77912729978561401</v>
      </c>
      <c r="L175" t="s">
        <v>65</v>
      </c>
      <c r="M175">
        <v>0.21722430000000001</v>
      </c>
      <c r="N175" t="s">
        <v>369</v>
      </c>
      <c r="O175">
        <v>0.16598177</v>
      </c>
      <c r="P175" t="s">
        <v>678</v>
      </c>
      <c r="Q175" s="4">
        <v>8.7343379999999998E-2</v>
      </c>
      <c r="R175" t="s">
        <v>369</v>
      </c>
      <c r="S175">
        <v>0.55214659999999993</v>
      </c>
      <c r="T175" t="s">
        <v>183</v>
      </c>
      <c r="U175">
        <v>0.10410277</v>
      </c>
      <c r="V175" t="s">
        <v>65</v>
      </c>
      <c r="W175">
        <v>4.0238135000000001E-2</v>
      </c>
    </row>
    <row r="176" spans="1:23" x14ac:dyDescent="0.25">
      <c r="A176" s="3" t="str">
        <f>HYPERLINK("http://ids.si.edu/ids/deliveryService?id=NMAH-ET2010-32867-009","NMAH-ET2010-32867-009")</f>
        <v>NMAH-ET2010-32867-009</v>
      </c>
      <c r="B176" s="3" t="s">
        <v>726</v>
      </c>
      <c r="C176" s="3">
        <v>1294319</v>
      </c>
      <c r="D176" s="3" t="s">
        <v>424</v>
      </c>
      <c r="E176" s="4" t="s">
        <v>538</v>
      </c>
      <c r="F176" t="s">
        <v>525</v>
      </c>
      <c r="G176">
        <v>0.82133990526199341</v>
      </c>
      <c r="H176" t="s">
        <v>727</v>
      </c>
      <c r="I176">
        <v>0.71392285823822021</v>
      </c>
      <c r="J176" t="s">
        <v>728</v>
      </c>
      <c r="K176" s="4">
        <v>0.69739484786987305</v>
      </c>
      <c r="L176" t="s">
        <v>65</v>
      </c>
      <c r="M176">
        <v>0.19200374000000001</v>
      </c>
      <c r="N176" t="s">
        <v>377</v>
      </c>
      <c r="O176">
        <v>0.17833363999999999</v>
      </c>
      <c r="P176" t="s">
        <v>376</v>
      </c>
      <c r="Q176" s="4">
        <v>0.12717265999999999</v>
      </c>
      <c r="R176" t="s">
        <v>65</v>
      </c>
      <c r="S176">
        <v>0.45696493999999999</v>
      </c>
      <c r="T176" t="s">
        <v>66</v>
      </c>
      <c r="U176">
        <v>8.6423659999999999E-2</v>
      </c>
      <c r="V176" t="s">
        <v>29</v>
      </c>
      <c r="W176">
        <v>7.352119E-2</v>
      </c>
    </row>
    <row r="177" spans="1:23" x14ac:dyDescent="0.25">
      <c r="A177" s="3" t="str">
        <f>HYPERLINK("http://ids.si.edu/ids/deliveryService?id=NMAH-AHB2010q66228-001","NMAH-AHB2010q66228-001")</f>
        <v>NMAH-AHB2010q66228-001</v>
      </c>
      <c r="B177" s="3" t="s">
        <v>729</v>
      </c>
      <c r="C177" s="3">
        <v>1054214</v>
      </c>
      <c r="D177" s="3" t="s">
        <v>424</v>
      </c>
      <c r="E177" s="4" t="s">
        <v>469</v>
      </c>
      <c r="F177" t="s">
        <v>730</v>
      </c>
      <c r="G177">
        <v>0.60372990369796753</v>
      </c>
      <c r="L177" t="s">
        <v>148</v>
      </c>
      <c r="M177">
        <v>0.51758957000000005</v>
      </c>
      <c r="N177" t="s">
        <v>678</v>
      </c>
      <c r="O177">
        <v>0.10787611</v>
      </c>
      <c r="P177" t="s">
        <v>460</v>
      </c>
      <c r="Q177" s="4">
        <v>5.2673230000000001E-2</v>
      </c>
      <c r="R177" t="s">
        <v>148</v>
      </c>
      <c r="S177">
        <v>0.14712033999999999</v>
      </c>
      <c r="T177" t="s">
        <v>129</v>
      </c>
      <c r="U177">
        <v>9.6108730000000003E-2</v>
      </c>
      <c r="V177" t="s">
        <v>731</v>
      </c>
      <c r="W177">
        <v>5.8133061999999999E-2</v>
      </c>
    </row>
    <row r="178" spans="1:23" x14ac:dyDescent="0.25">
      <c r="A178" s="3" t="str">
        <f>HYPERLINK("http://ids.si.edu/ids/deliveryService?id=NMAH-AHB2017q008625","NMAH-AHB2017q008625")</f>
        <v>NMAH-AHB2017q008625</v>
      </c>
      <c r="B178" s="3" t="s">
        <v>732</v>
      </c>
      <c r="C178" s="3">
        <v>374561</v>
      </c>
      <c r="D178" s="3" t="s">
        <v>424</v>
      </c>
      <c r="E178" s="4" t="s">
        <v>59</v>
      </c>
      <c r="F178" t="s">
        <v>101</v>
      </c>
      <c r="G178">
        <v>0.94869434833526611</v>
      </c>
      <c r="H178" t="s">
        <v>511</v>
      </c>
      <c r="I178">
        <v>0.92697328329086304</v>
      </c>
      <c r="J178" t="s">
        <v>733</v>
      </c>
      <c r="K178" s="4">
        <v>0.88606292009353638</v>
      </c>
      <c r="L178" t="s">
        <v>512</v>
      </c>
      <c r="M178">
        <v>0.47084403000000002</v>
      </c>
      <c r="N178" t="s">
        <v>634</v>
      </c>
      <c r="O178">
        <v>0.25551342999999999</v>
      </c>
      <c r="P178" t="s">
        <v>221</v>
      </c>
      <c r="Q178" s="4">
        <v>0.12964497999999999</v>
      </c>
      <c r="R178" t="s">
        <v>411</v>
      </c>
      <c r="S178">
        <v>0.23422366</v>
      </c>
      <c r="T178" t="s">
        <v>512</v>
      </c>
      <c r="U178">
        <v>0.22930183000000001</v>
      </c>
      <c r="V178" t="s">
        <v>634</v>
      </c>
      <c r="W178">
        <v>0.10689692000000001</v>
      </c>
    </row>
    <row r="179" spans="1:23" x14ac:dyDescent="0.25">
      <c r="A179" s="3" t="str">
        <f>HYPERLINK("http://ids.si.edu/ids/deliveryService?id=NMAH-AHB2006q23991","NMAH-AHB2006q23991")</f>
        <v>NMAH-AHB2006q23991</v>
      </c>
      <c r="B179" s="3" t="s">
        <v>734</v>
      </c>
      <c r="C179" s="3">
        <v>672078</v>
      </c>
      <c r="D179" s="3" t="s">
        <v>424</v>
      </c>
      <c r="E179" s="4" t="s">
        <v>425</v>
      </c>
      <c r="F179" t="s">
        <v>440</v>
      </c>
      <c r="G179">
        <v>0.9404221773147583</v>
      </c>
      <c r="H179" t="s">
        <v>441</v>
      </c>
      <c r="I179">
        <v>0.6757805347442627</v>
      </c>
      <c r="J179" t="s">
        <v>301</v>
      </c>
      <c r="K179" s="4">
        <v>0.56313377618789673</v>
      </c>
      <c r="L179" t="s">
        <v>303</v>
      </c>
      <c r="M179">
        <v>0.40170684000000001</v>
      </c>
      <c r="N179" t="s">
        <v>501</v>
      </c>
      <c r="O179">
        <v>0.18047577000000001</v>
      </c>
      <c r="P179" t="s">
        <v>442</v>
      </c>
      <c r="Q179" s="4">
        <v>7.5894160000000002E-2</v>
      </c>
      <c r="R179" t="s">
        <v>303</v>
      </c>
      <c r="S179">
        <v>0.15097060000000001</v>
      </c>
      <c r="T179" t="s">
        <v>502</v>
      </c>
      <c r="U179">
        <v>6.3410809999999998E-2</v>
      </c>
      <c r="V179" t="s">
        <v>233</v>
      </c>
      <c r="W179">
        <v>6.0872256999999999E-2</v>
      </c>
    </row>
    <row r="180" spans="1:23" x14ac:dyDescent="0.25">
      <c r="A180" s="3" t="str">
        <f>HYPERLINK("http://ids.si.edu/ids/deliveryService?id=NMAH-89-1465-000001","NMAH-89-1465-000001")</f>
        <v>NMAH-89-1465-000001</v>
      </c>
      <c r="B180" s="3" t="s">
        <v>735</v>
      </c>
      <c r="C180" s="3">
        <v>606225</v>
      </c>
      <c r="D180" s="3" t="s">
        <v>424</v>
      </c>
      <c r="E180" s="4" t="s">
        <v>214</v>
      </c>
      <c r="F180" t="s">
        <v>736</v>
      </c>
      <c r="G180">
        <v>0.95470666885375977</v>
      </c>
      <c r="H180" t="s">
        <v>61</v>
      </c>
      <c r="I180">
        <v>0.92668932676315308</v>
      </c>
      <c r="J180" t="s">
        <v>112</v>
      </c>
      <c r="K180" s="4">
        <v>0.74956268072128296</v>
      </c>
      <c r="L180" t="s">
        <v>258</v>
      </c>
      <c r="M180">
        <v>0.34462377</v>
      </c>
      <c r="N180" t="s">
        <v>737</v>
      </c>
      <c r="O180">
        <v>0.10954288399999999</v>
      </c>
      <c r="P180" t="s">
        <v>144</v>
      </c>
      <c r="Q180" s="4">
        <v>4.639886E-2</v>
      </c>
      <c r="R180" t="s">
        <v>258</v>
      </c>
      <c r="S180">
        <v>0.10949478999999999</v>
      </c>
      <c r="T180" t="s">
        <v>738</v>
      </c>
      <c r="U180">
        <v>3.5613257000000002E-2</v>
      </c>
      <c r="V180" t="s">
        <v>144</v>
      </c>
      <c r="W180">
        <v>3.5327980000000002E-2</v>
      </c>
    </row>
    <row r="181" spans="1:23" x14ac:dyDescent="0.25">
      <c r="A181" s="3" t="str">
        <f>HYPERLINK("http://ids.si.edu/ids/deliveryService?id=NMAH-AHB2017q009087","NMAH-AHB2017q009087")</f>
        <v>NMAH-AHB2017q009087</v>
      </c>
      <c r="B181" s="3" t="s">
        <v>739</v>
      </c>
      <c r="C181" s="3">
        <v>1247717</v>
      </c>
      <c r="D181" s="3" t="s">
        <v>424</v>
      </c>
      <c r="E181" s="4" t="s">
        <v>740</v>
      </c>
      <c r="F181" t="s">
        <v>126</v>
      </c>
      <c r="G181">
        <v>0.94289565086364746</v>
      </c>
      <c r="H181" t="s">
        <v>741</v>
      </c>
      <c r="I181">
        <v>0.88151991367340088</v>
      </c>
      <c r="J181" t="s">
        <v>742</v>
      </c>
      <c r="K181" s="4">
        <v>0.76714068651199341</v>
      </c>
      <c r="L181" t="s">
        <v>65</v>
      </c>
      <c r="M181">
        <v>0.81317519999999999</v>
      </c>
      <c r="N181" t="s">
        <v>129</v>
      </c>
      <c r="O181">
        <v>7.5894740000000002E-2</v>
      </c>
      <c r="P181" t="s">
        <v>744</v>
      </c>
      <c r="Q181" s="4">
        <v>4.5843314000000003E-2</v>
      </c>
      <c r="R181" t="s">
        <v>65</v>
      </c>
      <c r="S181">
        <v>0.88670294999999999</v>
      </c>
      <c r="T181" t="s">
        <v>129</v>
      </c>
      <c r="U181">
        <v>3.4774936999999999E-2</v>
      </c>
      <c r="V181" t="s">
        <v>209</v>
      </c>
      <c r="W181">
        <v>1.9855530999999999E-2</v>
      </c>
    </row>
    <row r="182" spans="1:23" x14ac:dyDescent="0.25">
      <c r="A182" s="3" t="str">
        <f>HYPERLINK("http://ids.si.edu/ids/deliveryService?id=NMAH-AHB2012q32551","NMAH-AHB2012q32551")</f>
        <v>NMAH-AHB2012q32551</v>
      </c>
      <c r="B182" s="3" t="s">
        <v>745</v>
      </c>
      <c r="C182" s="3">
        <v>1062881</v>
      </c>
      <c r="D182" s="3" t="s">
        <v>424</v>
      </c>
      <c r="E182" s="4" t="s">
        <v>746</v>
      </c>
      <c r="F182" t="s">
        <v>747</v>
      </c>
      <c r="G182">
        <v>0.86715787649154663</v>
      </c>
      <c r="H182" t="s">
        <v>748</v>
      </c>
      <c r="I182">
        <v>0.77886480093002319</v>
      </c>
      <c r="J182" t="s">
        <v>582</v>
      </c>
      <c r="K182" s="4">
        <v>0.75539451837539673</v>
      </c>
      <c r="L182" t="s">
        <v>580</v>
      </c>
      <c r="M182">
        <v>0.99999976000000002</v>
      </c>
      <c r="N182" t="s">
        <v>584</v>
      </c>
      <c r="O182">
        <v>9.0932330000000003E-8</v>
      </c>
      <c r="P182" t="s">
        <v>585</v>
      </c>
      <c r="Q182" s="4">
        <v>6.3564115999999997E-8</v>
      </c>
      <c r="R182" t="s">
        <v>580</v>
      </c>
      <c r="S182">
        <v>0.71655830000000009</v>
      </c>
      <c r="T182" t="s">
        <v>628</v>
      </c>
      <c r="U182">
        <v>0.13893567000000001</v>
      </c>
      <c r="V182" t="s">
        <v>749</v>
      </c>
      <c r="W182">
        <v>4.2232833999999997E-2</v>
      </c>
    </row>
    <row r="183" spans="1:23" x14ac:dyDescent="0.25">
      <c r="A183" s="3" t="str">
        <f>HYPERLINK("http://ids.si.edu/ids/deliveryService?id=NMAH-88-12037-7-000001","NMAH-88-12037-7-000001")</f>
        <v>NMAH-88-12037-7-000001</v>
      </c>
      <c r="B183" s="3" t="s">
        <v>750</v>
      </c>
      <c r="C183" s="3">
        <v>606210</v>
      </c>
      <c r="D183" s="3" t="s">
        <v>424</v>
      </c>
      <c r="E183" s="4" t="s">
        <v>214</v>
      </c>
      <c r="F183" t="s">
        <v>340</v>
      </c>
      <c r="G183">
        <v>0.95718741416931152</v>
      </c>
      <c r="H183" t="s">
        <v>751</v>
      </c>
      <c r="I183">
        <v>0.79389661550521851</v>
      </c>
      <c r="J183" t="s">
        <v>375</v>
      </c>
      <c r="K183" s="4">
        <v>0.68342131376266479</v>
      </c>
      <c r="L183" t="s">
        <v>258</v>
      </c>
      <c r="M183">
        <v>0.18751572</v>
      </c>
      <c r="N183" t="s">
        <v>752</v>
      </c>
      <c r="O183">
        <v>0.13778287</v>
      </c>
      <c r="P183" t="s">
        <v>183</v>
      </c>
      <c r="Q183" s="4">
        <v>9.0836970000000003E-2</v>
      </c>
      <c r="R183" t="s">
        <v>377</v>
      </c>
      <c r="S183">
        <v>0.10435485999999999</v>
      </c>
      <c r="T183" t="s">
        <v>266</v>
      </c>
      <c r="U183">
        <v>9.9556870000000006E-2</v>
      </c>
      <c r="V183" t="s">
        <v>258</v>
      </c>
      <c r="W183">
        <v>7.2278775000000003E-2</v>
      </c>
    </row>
    <row r="184" spans="1:23" x14ac:dyDescent="0.25">
      <c r="A184" s="3" t="str">
        <f>HYPERLINK("http://ids.si.edu/ids/deliveryService?id=NMAH-AHB2010r5474","NMAH-AHB2010r5474")</f>
        <v>NMAH-AHB2010r5474</v>
      </c>
      <c r="B184" s="3" t="s">
        <v>753</v>
      </c>
      <c r="C184" s="3">
        <v>682333</v>
      </c>
      <c r="D184" s="3" t="s">
        <v>424</v>
      </c>
      <c r="E184" s="4" t="s">
        <v>425</v>
      </c>
      <c r="F184" t="s">
        <v>440</v>
      </c>
      <c r="G184">
        <v>0.8994249701499939</v>
      </c>
      <c r="H184" t="s">
        <v>439</v>
      </c>
      <c r="I184">
        <v>0.79161351919174194</v>
      </c>
      <c r="J184" t="s">
        <v>441</v>
      </c>
      <c r="K184" s="4">
        <v>0.6757805347442627</v>
      </c>
      <c r="L184" t="s">
        <v>443</v>
      </c>
      <c r="M184">
        <v>0.52675647000000003</v>
      </c>
      <c r="N184" t="s">
        <v>333</v>
      </c>
      <c r="O184">
        <v>0.15791304</v>
      </c>
      <c r="P184" t="s">
        <v>334</v>
      </c>
      <c r="Q184" s="4">
        <v>0.106728725</v>
      </c>
      <c r="R184" t="s">
        <v>443</v>
      </c>
      <c r="S184">
        <v>0.46611908000000002</v>
      </c>
      <c r="T184" t="s">
        <v>35</v>
      </c>
      <c r="U184">
        <v>6.0407937000000002E-2</v>
      </c>
      <c r="V184" t="s">
        <v>334</v>
      </c>
      <c r="W184">
        <v>5.4697040000000002E-2</v>
      </c>
    </row>
    <row r="185" spans="1:23" x14ac:dyDescent="0.25">
      <c r="A185" s="3" t="str">
        <f>HYPERLINK("http://ids.si.edu/ids/deliveryService?id=NMAH-AHB2018q013198","NMAH-AHB2018q013198")</f>
        <v>NMAH-AHB2018q013198</v>
      </c>
      <c r="B185" s="3" t="s">
        <v>754</v>
      </c>
      <c r="C185" s="3">
        <v>1017089</v>
      </c>
      <c r="D185" s="3" t="s">
        <v>424</v>
      </c>
      <c r="E185" s="4" t="s">
        <v>425</v>
      </c>
      <c r="F185" t="s">
        <v>61</v>
      </c>
      <c r="G185">
        <v>0.90795594453811646</v>
      </c>
      <c r="H185" t="s">
        <v>449</v>
      </c>
      <c r="I185">
        <v>0.90182024240493774</v>
      </c>
      <c r="J185" t="s">
        <v>126</v>
      </c>
      <c r="K185" s="4">
        <v>0.84637671709060669</v>
      </c>
      <c r="L185" t="s">
        <v>29</v>
      </c>
      <c r="M185">
        <v>0.7233364000000001</v>
      </c>
      <c r="N185" t="s">
        <v>378</v>
      </c>
      <c r="O185">
        <v>5.3228131999999997E-2</v>
      </c>
      <c r="P185" t="s">
        <v>144</v>
      </c>
      <c r="Q185" s="4">
        <v>4.6738799999999997E-2</v>
      </c>
      <c r="R185" t="s">
        <v>65</v>
      </c>
      <c r="S185">
        <v>0.42987618</v>
      </c>
      <c r="T185" t="s">
        <v>253</v>
      </c>
      <c r="U185">
        <v>0.27248347000000001</v>
      </c>
      <c r="V185" t="s">
        <v>129</v>
      </c>
      <c r="W185">
        <v>4.3323676999999998E-2</v>
      </c>
    </row>
    <row r="186" spans="1:23" x14ac:dyDescent="0.25">
      <c r="A186" s="3" t="str">
        <f>HYPERLINK("http://ids.si.edu/ids/deliveryService?id=NMAH-AHB2012q50151","NMAH-AHB2012q50151")</f>
        <v>NMAH-AHB2012q50151</v>
      </c>
      <c r="B186" s="3" t="s">
        <v>755</v>
      </c>
      <c r="C186" s="3">
        <v>672970</v>
      </c>
      <c r="D186" s="3" t="s">
        <v>424</v>
      </c>
      <c r="E186" s="4" t="s">
        <v>425</v>
      </c>
      <c r="F186" t="s">
        <v>440</v>
      </c>
      <c r="G186">
        <v>0.72662919759750366</v>
      </c>
      <c r="H186" t="s">
        <v>607</v>
      </c>
      <c r="I186">
        <v>0.70102286338806152</v>
      </c>
      <c r="J186" t="s">
        <v>441</v>
      </c>
      <c r="K186" s="4">
        <v>0.6757805347442627</v>
      </c>
      <c r="L186" t="s">
        <v>529</v>
      </c>
      <c r="M186">
        <v>0.85728740000000003</v>
      </c>
      <c r="N186" t="s">
        <v>303</v>
      </c>
      <c r="O186">
        <v>7.3385149999999996E-2</v>
      </c>
      <c r="P186" t="s">
        <v>528</v>
      </c>
      <c r="Q186" s="4">
        <v>3.1812564000000002E-2</v>
      </c>
      <c r="R186" t="s">
        <v>303</v>
      </c>
      <c r="S186">
        <v>0.12883876</v>
      </c>
      <c r="T186" t="s">
        <v>529</v>
      </c>
      <c r="U186">
        <v>9.5590110000000006E-2</v>
      </c>
      <c r="V186" t="s">
        <v>528</v>
      </c>
      <c r="W186">
        <v>6.5642720000000002E-2</v>
      </c>
    </row>
    <row r="187" spans="1:23" x14ac:dyDescent="0.25">
      <c r="A187" s="3" t="str">
        <f>HYPERLINK("http://ids.si.edu/ids/deliveryService?id=NMAH-AHB2017q011634","NMAH-AHB2017q011634")</f>
        <v>NMAH-AHB2017q011634</v>
      </c>
      <c r="B187" s="3" t="s">
        <v>756</v>
      </c>
      <c r="C187" s="3">
        <v>1848330</v>
      </c>
      <c r="D187" s="3" t="s">
        <v>424</v>
      </c>
      <c r="E187" s="4" t="s">
        <v>757</v>
      </c>
      <c r="F187" t="s">
        <v>61</v>
      </c>
      <c r="G187">
        <v>0.91213947534561157</v>
      </c>
      <c r="H187" t="s">
        <v>112</v>
      </c>
      <c r="I187">
        <v>0.81951183080673218</v>
      </c>
      <c r="J187" t="s">
        <v>38</v>
      </c>
      <c r="K187" s="4">
        <v>0.55728942155838013</v>
      </c>
      <c r="L187" t="s">
        <v>65</v>
      </c>
      <c r="M187">
        <v>0.63384359999999995</v>
      </c>
      <c r="N187" t="s">
        <v>66</v>
      </c>
      <c r="O187">
        <v>0.18010253000000001</v>
      </c>
      <c r="P187" t="s">
        <v>79</v>
      </c>
      <c r="Q187" s="4">
        <v>1.6733359999999999E-2</v>
      </c>
      <c r="R187" t="s">
        <v>65</v>
      </c>
      <c r="S187">
        <v>0.38775733000000001</v>
      </c>
      <c r="T187" t="s">
        <v>66</v>
      </c>
      <c r="U187">
        <v>0.25046888</v>
      </c>
      <c r="V187" t="s">
        <v>260</v>
      </c>
      <c r="W187">
        <v>8.1926529999999997E-2</v>
      </c>
    </row>
    <row r="188" spans="1:23" x14ac:dyDescent="0.25">
      <c r="A188" s="3" t="str">
        <f>HYPERLINK("http://ids.si.edu/ids/deliveryService?id=NMAH-AHB2017q005587","NMAH-AHB2017q005587")</f>
        <v>NMAH-AHB2017q005587</v>
      </c>
      <c r="B188" s="3" t="s">
        <v>759</v>
      </c>
      <c r="C188" s="3">
        <v>1412599</v>
      </c>
      <c r="D188" s="3" t="s">
        <v>424</v>
      </c>
      <c r="E188" s="4" t="s">
        <v>760</v>
      </c>
      <c r="F188" t="s">
        <v>206</v>
      </c>
      <c r="G188">
        <v>0.74886488914489746</v>
      </c>
      <c r="H188" t="s">
        <v>38</v>
      </c>
      <c r="I188">
        <v>0.59357345104217529</v>
      </c>
      <c r="J188" t="s">
        <v>236</v>
      </c>
      <c r="K188" s="4">
        <v>0.54227489233016968</v>
      </c>
      <c r="L188" t="s">
        <v>398</v>
      </c>
      <c r="M188">
        <v>0.22868865999999999</v>
      </c>
      <c r="N188" t="s">
        <v>151</v>
      </c>
      <c r="O188">
        <v>0.1857248</v>
      </c>
      <c r="P188" t="s">
        <v>84</v>
      </c>
      <c r="Q188" s="4">
        <v>9.2212035999999997E-2</v>
      </c>
      <c r="R188" t="s">
        <v>389</v>
      </c>
      <c r="S188">
        <v>0.30602230000000002</v>
      </c>
      <c r="T188" t="s">
        <v>151</v>
      </c>
      <c r="U188">
        <v>0.11625169</v>
      </c>
      <c r="V188" t="s">
        <v>185</v>
      </c>
      <c r="W188">
        <v>9.5486245999999997E-2</v>
      </c>
    </row>
    <row r="189" spans="1:23" x14ac:dyDescent="0.25">
      <c r="A189" s="3" t="str">
        <f>HYPERLINK("http://ids.si.edu/ids/deliveryService?id=NMAH-AHB2006q24797","NMAH-AHB2006q24797")</f>
        <v>NMAH-AHB2006q24797</v>
      </c>
      <c r="B189" s="3" t="s">
        <v>761</v>
      </c>
      <c r="C189" s="3">
        <v>1213383</v>
      </c>
      <c r="D189" s="3" t="s">
        <v>424</v>
      </c>
      <c r="E189" s="4" t="s">
        <v>425</v>
      </c>
      <c r="F189" t="s">
        <v>61</v>
      </c>
      <c r="G189">
        <v>0.9157753586769104</v>
      </c>
      <c r="H189" t="s">
        <v>762</v>
      </c>
      <c r="I189">
        <v>0.54466152191162109</v>
      </c>
      <c r="L189" t="s">
        <v>65</v>
      </c>
      <c r="M189">
        <v>0.99906236000000004</v>
      </c>
      <c r="N189" t="s">
        <v>66</v>
      </c>
      <c r="O189">
        <v>2.7129808000000001E-4</v>
      </c>
      <c r="P189" t="s">
        <v>79</v>
      </c>
      <c r="Q189" s="4">
        <v>1.6078448999999999E-4</v>
      </c>
      <c r="R189" t="s">
        <v>65</v>
      </c>
      <c r="S189">
        <v>0.63178069999999997</v>
      </c>
      <c r="T189" t="s">
        <v>29</v>
      </c>
      <c r="U189">
        <v>9.7286224000000004E-2</v>
      </c>
      <c r="V189" t="s">
        <v>66</v>
      </c>
      <c r="W189">
        <v>2.8834592999999999E-2</v>
      </c>
    </row>
    <row r="190" spans="1:23" x14ac:dyDescent="0.25">
      <c r="A190" s="3" t="str">
        <f>HYPERLINK("http://ids.si.edu/ids/deliveryService?id=NMAH-AHB2016q045670","NMAH-AHB2016q045670")</f>
        <v>NMAH-AHB2016q045670</v>
      </c>
      <c r="B190" s="3" t="s">
        <v>763</v>
      </c>
      <c r="C190" s="3">
        <v>1433036</v>
      </c>
      <c r="D190" s="3" t="s">
        <v>424</v>
      </c>
      <c r="E190" s="4" t="s">
        <v>764</v>
      </c>
      <c r="L190" t="s">
        <v>764</v>
      </c>
      <c r="M190">
        <v>0.118980825</v>
      </c>
      <c r="N190" t="s">
        <v>599</v>
      </c>
      <c r="O190">
        <v>9.8882129999999999E-2</v>
      </c>
      <c r="P190" t="s">
        <v>330</v>
      </c>
      <c r="Q190" s="4">
        <v>9.4480044999999999E-2</v>
      </c>
      <c r="R190" t="s">
        <v>764</v>
      </c>
      <c r="S190">
        <v>0.47675240000000002</v>
      </c>
      <c r="T190" t="s">
        <v>765</v>
      </c>
      <c r="U190">
        <v>6.8978479999999995E-2</v>
      </c>
      <c r="V190" t="s">
        <v>94</v>
      </c>
      <c r="W190">
        <v>4.7842233999999997E-2</v>
      </c>
    </row>
    <row r="191" spans="1:23" x14ac:dyDescent="0.25">
      <c r="A191" s="3" t="str">
        <f>HYPERLINK("http://ids.si.edu/ids/deliveryService?id=NMAH-AHB2017q008601","NMAH-AHB2017q008601")</f>
        <v>NMAH-AHB2017q008601</v>
      </c>
      <c r="B191" s="3" t="s">
        <v>766</v>
      </c>
      <c r="C191" s="3">
        <v>374555</v>
      </c>
      <c r="D191" s="3" t="s">
        <v>424</v>
      </c>
      <c r="E191" s="4" t="s">
        <v>59</v>
      </c>
      <c r="F191" t="s">
        <v>767</v>
      </c>
      <c r="G191">
        <v>0.97711694240570068</v>
      </c>
      <c r="H191" t="s">
        <v>60</v>
      </c>
      <c r="I191">
        <v>0.97019731998443604</v>
      </c>
      <c r="J191" t="s">
        <v>429</v>
      </c>
      <c r="K191" s="4">
        <v>0.93710660934448242</v>
      </c>
      <c r="L191" t="s">
        <v>681</v>
      </c>
      <c r="M191">
        <v>0.27496137999999998</v>
      </c>
      <c r="N191" t="s">
        <v>221</v>
      </c>
      <c r="O191">
        <v>0.11467486</v>
      </c>
      <c r="P191" t="s">
        <v>29</v>
      </c>
      <c r="Q191" s="4">
        <v>6.2024724000000003E-2</v>
      </c>
      <c r="R191" t="s">
        <v>512</v>
      </c>
      <c r="S191">
        <v>0.28843245000000001</v>
      </c>
      <c r="T191" t="s">
        <v>634</v>
      </c>
      <c r="U191">
        <v>9.8326996E-2</v>
      </c>
      <c r="V191" t="s">
        <v>768</v>
      </c>
      <c r="W191">
        <v>7.5720153999999998E-2</v>
      </c>
    </row>
    <row r="192" spans="1:23" x14ac:dyDescent="0.25">
      <c r="A192" s="3" t="str">
        <f>HYPERLINK("http://ids.si.edu/ids/deliveryService?id=NMAH-ET2013-38750","NMAH-ET2013-38750")</f>
        <v>NMAH-ET2013-38750</v>
      </c>
      <c r="B192" s="3" t="s">
        <v>769</v>
      </c>
      <c r="C192" s="3">
        <v>1170672</v>
      </c>
      <c r="D192" s="3" t="s">
        <v>424</v>
      </c>
      <c r="E192" s="4" t="s">
        <v>770</v>
      </c>
      <c r="F192" t="s">
        <v>519</v>
      </c>
      <c r="G192">
        <v>0.87273329496383667</v>
      </c>
      <c r="H192" t="s">
        <v>771</v>
      </c>
      <c r="I192">
        <v>0.82164245843887329</v>
      </c>
      <c r="J192" t="s">
        <v>311</v>
      </c>
      <c r="K192" s="4">
        <v>0.60173565149307251</v>
      </c>
      <c r="L192" t="s">
        <v>204</v>
      </c>
      <c r="M192">
        <v>0.29579951999999998</v>
      </c>
      <c r="N192" t="s">
        <v>105</v>
      </c>
      <c r="O192">
        <v>0.11687728999999999</v>
      </c>
      <c r="P192" t="s">
        <v>772</v>
      </c>
      <c r="Q192" s="4">
        <v>5.1776830000000003E-2</v>
      </c>
      <c r="R192" t="s">
        <v>362</v>
      </c>
      <c r="S192">
        <v>0.10505441</v>
      </c>
      <c r="T192" t="s">
        <v>204</v>
      </c>
      <c r="U192">
        <v>6.8202554999999998E-2</v>
      </c>
      <c r="V192" t="s">
        <v>105</v>
      </c>
      <c r="W192">
        <v>6.3407050000000006E-2</v>
      </c>
    </row>
    <row r="193" spans="1:23" x14ac:dyDescent="0.25">
      <c r="A193" s="3" t="str">
        <f>HYPERLINK("http://ids.si.edu/ids/deliveryService?id=NMAH-AHB2014q008242","NMAH-AHB2014q008242")</f>
        <v>NMAH-AHB2014q008242</v>
      </c>
      <c r="B193" s="3" t="s">
        <v>773</v>
      </c>
      <c r="C193" s="3">
        <v>1464701</v>
      </c>
      <c r="D193" s="3" t="s">
        <v>424</v>
      </c>
      <c r="E193" s="4" t="s">
        <v>661</v>
      </c>
      <c r="F193" t="s">
        <v>454</v>
      </c>
      <c r="G193">
        <v>0.97613567113876343</v>
      </c>
      <c r="H193" t="s">
        <v>774</v>
      </c>
      <c r="I193">
        <v>0.93046003580093384</v>
      </c>
      <c r="J193" t="s">
        <v>455</v>
      </c>
      <c r="K193" s="4">
        <v>0.92427659034729004</v>
      </c>
      <c r="L193" t="s">
        <v>65</v>
      </c>
      <c r="M193">
        <v>0.8103688</v>
      </c>
      <c r="N193" t="s">
        <v>66</v>
      </c>
      <c r="O193">
        <v>5.1011464999999999E-2</v>
      </c>
      <c r="P193" t="s">
        <v>678</v>
      </c>
      <c r="Q193" s="4">
        <v>2.8807217E-2</v>
      </c>
      <c r="R193" t="s">
        <v>65</v>
      </c>
      <c r="S193">
        <v>0.48165767999999998</v>
      </c>
      <c r="T193" t="s">
        <v>66</v>
      </c>
      <c r="U193">
        <v>0.21446466</v>
      </c>
      <c r="V193" t="s">
        <v>334</v>
      </c>
      <c r="W193">
        <v>0.103090934</v>
      </c>
    </row>
    <row r="194" spans="1:23" x14ac:dyDescent="0.25">
      <c r="A194" s="3" t="str">
        <f>HYPERLINK("http://ids.si.edu/ids/deliveryService?id=NMAH-AHB2006q24459","NMAH-AHB2006q24459")</f>
        <v>NMAH-AHB2006q24459</v>
      </c>
      <c r="B194" s="3" t="s">
        <v>775</v>
      </c>
      <c r="C194" s="3">
        <v>1233317</v>
      </c>
      <c r="D194" s="3" t="s">
        <v>424</v>
      </c>
      <c r="E194" s="4" t="s">
        <v>425</v>
      </c>
      <c r="F194" t="s">
        <v>440</v>
      </c>
      <c r="G194">
        <v>0.90285158157348633</v>
      </c>
      <c r="H194" t="s">
        <v>441</v>
      </c>
      <c r="I194">
        <v>0.73208904266357422</v>
      </c>
      <c r="J194" t="s">
        <v>607</v>
      </c>
      <c r="K194" s="4">
        <v>0.68111240863800049</v>
      </c>
      <c r="L194" t="s">
        <v>303</v>
      </c>
      <c r="M194">
        <v>0.32572729999999989</v>
      </c>
      <c r="N194" t="s">
        <v>430</v>
      </c>
      <c r="O194">
        <v>0.18078832</v>
      </c>
      <c r="P194" t="s">
        <v>459</v>
      </c>
      <c r="Q194" s="4">
        <v>6.0348093999999998E-2</v>
      </c>
      <c r="R194" t="s">
        <v>654</v>
      </c>
      <c r="S194">
        <v>0.11006056</v>
      </c>
      <c r="T194" t="s">
        <v>303</v>
      </c>
      <c r="U194">
        <v>9.3321119999999994E-2</v>
      </c>
      <c r="V194" t="s">
        <v>443</v>
      </c>
      <c r="W194">
        <v>6.5884664999999995E-2</v>
      </c>
    </row>
    <row r="195" spans="1:23" x14ac:dyDescent="0.25">
      <c r="A195" s="3" t="str">
        <f>HYPERLINK("http://ids.si.edu/ids/deliveryService?id=NMAH-AHB2006q22846","NMAH-AHB2006q22846")</f>
        <v>NMAH-AHB2006q22846</v>
      </c>
      <c r="B195" s="3" t="s">
        <v>776</v>
      </c>
      <c r="C195" s="3">
        <v>676253</v>
      </c>
      <c r="D195" s="3" t="s">
        <v>424</v>
      </c>
      <c r="E195" s="4" t="s">
        <v>425</v>
      </c>
      <c r="F195" t="s">
        <v>126</v>
      </c>
      <c r="G195">
        <v>0.83753401041030884</v>
      </c>
      <c r="H195" t="s">
        <v>486</v>
      </c>
      <c r="I195">
        <v>0.72085797786712646</v>
      </c>
      <c r="J195" t="s">
        <v>112</v>
      </c>
      <c r="K195" s="4">
        <v>0.68572378158569336</v>
      </c>
      <c r="L195" t="s">
        <v>65</v>
      </c>
      <c r="M195">
        <v>0.7284351</v>
      </c>
      <c r="N195" t="s">
        <v>209</v>
      </c>
      <c r="O195">
        <v>5.9270984999999998E-2</v>
      </c>
      <c r="P195" t="s">
        <v>79</v>
      </c>
      <c r="Q195" s="4">
        <v>2.62277E-2</v>
      </c>
      <c r="R195" t="s">
        <v>65</v>
      </c>
      <c r="S195">
        <v>0.38685668000000001</v>
      </c>
      <c r="T195" t="s">
        <v>66</v>
      </c>
      <c r="U195">
        <v>8.9025919999999995E-2</v>
      </c>
      <c r="V195" t="s">
        <v>209</v>
      </c>
      <c r="W195">
        <v>8.2579219999999995E-2</v>
      </c>
    </row>
    <row r="196" spans="1:23" x14ac:dyDescent="0.25">
      <c r="A196" s="3" t="str">
        <f>HYPERLINK("http://ids.si.edu/ids/deliveryService?id=NMAH-AHB2006q23324","NMAH-AHB2006q23324")</f>
        <v>NMAH-AHB2006q23324</v>
      </c>
      <c r="B196" s="3" t="s">
        <v>777</v>
      </c>
      <c r="C196" s="3">
        <v>1010693</v>
      </c>
      <c r="D196" s="3" t="s">
        <v>424</v>
      </c>
      <c r="E196" s="4" t="s">
        <v>425</v>
      </c>
      <c r="F196" t="s">
        <v>440</v>
      </c>
      <c r="G196">
        <v>0.91340643167495728</v>
      </c>
      <c r="H196" t="s">
        <v>301</v>
      </c>
      <c r="I196">
        <v>0.67159384489059448</v>
      </c>
      <c r="J196" t="s">
        <v>778</v>
      </c>
      <c r="K196" s="4">
        <v>0.65403991937637329</v>
      </c>
      <c r="L196" t="s">
        <v>303</v>
      </c>
      <c r="M196">
        <v>0.95346090000000006</v>
      </c>
      <c r="N196" t="s">
        <v>688</v>
      </c>
      <c r="O196">
        <v>1.4967506E-2</v>
      </c>
      <c r="P196" t="s">
        <v>443</v>
      </c>
      <c r="Q196" s="4">
        <v>4.7579635999999998E-3</v>
      </c>
      <c r="R196" t="s">
        <v>303</v>
      </c>
      <c r="S196">
        <v>0.87105239999999995</v>
      </c>
      <c r="T196" t="s">
        <v>502</v>
      </c>
      <c r="U196">
        <v>2.5613349000000001E-2</v>
      </c>
      <c r="V196" t="s">
        <v>233</v>
      </c>
      <c r="W196">
        <v>1.4790529E-2</v>
      </c>
    </row>
    <row r="197" spans="1:23" x14ac:dyDescent="0.25">
      <c r="A197" s="3" t="str">
        <f>HYPERLINK("http://ids.si.edu/ids/deliveryService?id=NMAH-90-8549","NMAH-90-8549")</f>
        <v>NMAH-90-8549</v>
      </c>
      <c r="B197" s="3" t="s">
        <v>779</v>
      </c>
      <c r="C197" s="3">
        <v>606711</v>
      </c>
      <c r="D197" s="3" t="s">
        <v>424</v>
      </c>
      <c r="E197" s="4" t="s">
        <v>492</v>
      </c>
      <c r="F197" t="s">
        <v>434</v>
      </c>
      <c r="G197">
        <v>0.98881465196609497</v>
      </c>
      <c r="H197" t="s">
        <v>551</v>
      </c>
      <c r="I197">
        <v>0.98647880554199219</v>
      </c>
      <c r="J197" t="s">
        <v>434</v>
      </c>
      <c r="K197" s="4">
        <v>0.98163163661956787</v>
      </c>
      <c r="L197" t="s">
        <v>492</v>
      </c>
      <c r="M197">
        <v>0.76358515000000005</v>
      </c>
      <c r="N197" t="s">
        <v>552</v>
      </c>
      <c r="O197">
        <v>0.23621175</v>
      </c>
      <c r="P197" t="s">
        <v>436</v>
      </c>
      <c r="Q197" s="4">
        <v>1.4834237E-4</v>
      </c>
      <c r="R197" t="s">
        <v>492</v>
      </c>
      <c r="S197">
        <v>0.85785659999999986</v>
      </c>
      <c r="T197" t="s">
        <v>552</v>
      </c>
      <c r="U197">
        <v>0.13999169</v>
      </c>
      <c r="V197" t="s">
        <v>436</v>
      </c>
      <c r="W197">
        <v>6.9041529999999999E-4</v>
      </c>
    </row>
    <row r="198" spans="1:23" x14ac:dyDescent="0.25">
      <c r="A198" s="3" t="str">
        <f>HYPERLINK("http://ids.si.edu/ids/deliveryService?id=NMAH-ET2010-32726-009","NMAH-ET2010-32726-009")</f>
        <v>NMAH-ET2010-32726-009</v>
      </c>
      <c r="B198" s="3" t="s">
        <v>780</v>
      </c>
      <c r="C198" s="3">
        <v>1294183</v>
      </c>
      <c r="D198" s="3" t="s">
        <v>424</v>
      </c>
      <c r="E198" s="4" t="s">
        <v>538</v>
      </c>
      <c r="F198" t="s">
        <v>60</v>
      </c>
      <c r="G198">
        <v>0.9480249285697937</v>
      </c>
      <c r="H198" t="s">
        <v>727</v>
      </c>
      <c r="I198">
        <v>0.74443161487579346</v>
      </c>
      <c r="J198" t="s">
        <v>62</v>
      </c>
      <c r="K198" s="4">
        <v>0.73102903366088867</v>
      </c>
      <c r="L198" t="s">
        <v>65</v>
      </c>
      <c r="M198">
        <v>0.32541016</v>
      </c>
      <c r="N198" t="s">
        <v>377</v>
      </c>
      <c r="O198">
        <v>0.10637844</v>
      </c>
      <c r="P198" t="s">
        <v>379</v>
      </c>
      <c r="Q198" s="4">
        <v>6.057531E-2</v>
      </c>
      <c r="R198" t="s">
        <v>65</v>
      </c>
      <c r="S198">
        <v>0.11161281000000001</v>
      </c>
      <c r="T198" t="s">
        <v>225</v>
      </c>
      <c r="U198">
        <v>0.10041662</v>
      </c>
      <c r="V198" t="s">
        <v>66</v>
      </c>
      <c r="W198">
        <v>5.5342420000000003E-2</v>
      </c>
    </row>
    <row r="199" spans="1:23" x14ac:dyDescent="0.25">
      <c r="A199" s="3" t="str">
        <f>HYPERLINK("http://ids.si.edu/ids/deliveryService?id=NMAH-AHB2011r4838","NMAH-AHB2011r4838")</f>
        <v>NMAH-AHB2011r4838</v>
      </c>
      <c r="B199" s="3" t="s">
        <v>781</v>
      </c>
      <c r="C199" s="3">
        <v>681185</v>
      </c>
      <c r="D199" s="3" t="s">
        <v>424</v>
      </c>
      <c r="E199" s="4" t="s">
        <v>425</v>
      </c>
      <c r="F199" t="s">
        <v>61</v>
      </c>
      <c r="G199">
        <v>0.88115477561950684</v>
      </c>
      <c r="H199" t="s">
        <v>126</v>
      </c>
      <c r="I199">
        <v>0.81713980436325073</v>
      </c>
      <c r="J199" t="s">
        <v>449</v>
      </c>
      <c r="K199" s="4">
        <v>0.62781494855880737</v>
      </c>
      <c r="L199" t="s">
        <v>65</v>
      </c>
      <c r="M199">
        <v>0.47875893000000003</v>
      </c>
      <c r="N199" t="s">
        <v>66</v>
      </c>
      <c r="O199">
        <v>0.11945391399999999</v>
      </c>
      <c r="P199" t="s">
        <v>79</v>
      </c>
      <c r="Q199" s="4">
        <v>5.5291976999999999E-2</v>
      </c>
      <c r="R199" t="s">
        <v>65</v>
      </c>
      <c r="S199">
        <v>0.16356134</v>
      </c>
      <c r="T199" t="s">
        <v>144</v>
      </c>
      <c r="U199">
        <v>0.1335741</v>
      </c>
      <c r="V199" t="s">
        <v>782</v>
      </c>
      <c r="W199">
        <v>9.1573329999999994E-2</v>
      </c>
    </row>
    <row r="200" spans="1:23" x14ac:dyDescent="0.25">
      <c r="A200" s="3" t="str">
        <f>HYPERLINK("http://ids.si.edu/ids/deliveryService?id=NMAH-AHB2006q23511","NMAH-AHB2006q23511")</f>
        <v>NMAH-AHB2006q23511</v>
      </c>
      <c r="B200" s="3" t="s">
        <v>783</v>
      </c>
      <c r="C200" s="3">
        <v>663273</v>
      </c>
      <c r="D200" s="3" t="s">
        <v>424</v>
      </c>
      <c r="E200" s="4" t="s">
        <v>425</v>
      </c>
      <c r="F200" t="s">
        <v>440</v>
      </c>
      <c r="G200">
        <v>0.83960670232772827</v>
      </c>
      <c r="H200" t="s">
        <v>441</v>
      </c>
      <c r="I200">
        <v>0.71206289529800415</v>
      </c>
      <c r="J200" t="s">
        <v>615</v>
      </c>
      <c r="K200" s="4">
        <v>0.66129732131958008</v>
      </c>
      <c r="L200" t="s">
        <v>303</v>
      </c>
      <c r="M200">
        <v>0.81592673000000004</v>
      </c>
      <c r="N200" t="s">
        <v>784</v>
      </c>
      <c r="O200">
        <v>2.4295431999999999E-2</v>
      </c>
      <c r="P200" t="s">
        <v>516</v>
      </c>
      <c r="Q200" s="4">
        <v>1.9447582000000001E-2</v>
      </c>
      <c r="R200" t="s">
        <v>303</v>
      </c>
      <c r="S200">
        <v>0.27866681999999998</v>
      </c>
      <c r="T200" t="s">
        <v>443</v>
      </c>
      <c r="U200">
        <v>8.6421440000000002E-2</v>
      </c>
      <c r="V200" t="s">
        <v>516</v>
      </c>
      <c r="W200">
        <v>4.3327104000000012E-2</v>
      </c>
    </row>
    <row r="201" spans="1:23" x14ac:dyDescent="0.25">
      <c r="A201" s="3" t="str">
        <f>HYPERLINK("http://ids.si.edu/ids/deliveryService?id=NMAH-AHB2016q007134","NMAH-AHB2016q007134")</f>
        <v>NMAH-AHB2016q007134</v>
      </c>
      <c r="B201" s="3" t="s">
        <v>785</v>
      </c>
      <c r="C201" s="3">
        <v>1451968</v>
      </c>
      <c r="D201" s="3" t="s">
        <v>424</v>
      </c>
      <c r="E201" s="4" t="s">
        <v>786</v>
      </c>
      <c r="F201" t="s">
        <v>519</v>
      </c>
      <c r="G201">
        <v>0.81593871116638184</v>
      </c>
      <c r="H201" t="s">
        <v>112</v>
      </c>
      <c r="I201">
        <v>0.68572378158569336</v>
      </c>
      <c r="J201" t="s">
        <v>604</v>
      </c>
      <c r="K201" s="4">
        <v>0.58598244190216064</v>
      </c>
      <c r="L201" t="s">
        <v>129</v>
      </c>
      <c r="M201">
        <v>0.81421434999999998</v>
      </c>
      <c r="N201" t="s">
        <v>65</v>
      </c>
      <c r="O201">
        <v>5.8794252999999998E-2</v>
      </c>
      <c r="P201" t="s">
        <v>788</v>
      </c>
      <c r="Q201" s="4">
        <v>1.8918000000000001E-2</v>
      </c>
      <c r="R201" t="s">
        <v>65</v>
      </c>
      <c r="S201">
        <v>0.51351833000000002</v>
      </c>
      <c r="T201" t="s">
        <v>379</v>
      </c>
      <c r="U201">
        <v>0.16835314000000001</v>
      </c>
      <c r="V201" t="s">
        <v>66</v>
      </c>
      <c r="W201">
        <v>2.5043942E-2</v>
      </c>
    </row>
    <row r="202" spans="1:23" x14ac:dyDescent="0.25">
      <c r="A202" s="3" t="str">
        <f>HYPERLINK("http://ids.si.edu/ids/deliveryService?id=NMAH-ET2010-32823-009","NMAH-ET2010-32823-009")</f>
        <v>NMAH-ET2010-32823-009</v>
      </c>
      <c r="B202" s="3" t="s">
        <v>789</v>
      </c>
      <c r="C202" s="3">
        <v>1294293</v>
      </c>
      <c r="D202" s="3" t="s">
        <v>424</v>
      </c>
      <c r="E202" s="4" t="s">
        <v>538</v>
      </c>
      <c r="F202" t="s">
        <v>60</v>
      </c>
      <c r="G202">
        <v>0.95823395252227783</v>
      </c>
      <c r="H202" t="s">
        <v>428</v>
      </c>
      <c r="I202">
        <v>0.83585441112518311</v>
      </c>
      <c r="J202" t="s">
        <v>727</v>
      </c>
      <c r="K202" s="4">
        <v>0.77951669692993164</v>
      </c>
      <c r="L202" t="s">
        <v>65</v>
      </c>
      <c r="M202">
        <v>0.90953463000000001</v>
      </c>
      <c r="N202" t="s">
        <v>29</v>
      </c>
      <c r="O202">
        <v>1.4386639E-2</v>
      </c>
      <c r="P202" t="s">
        <v>144</v>
      </c>
      <c r="Q202" s="4">
        <v>1.08598275E-2</v>
      </c>
      <c r="R202" t="s">
        <v>65</v>
      </c>
      <c r="S202">
        <v>0.60831212999999995</v>
      </c>
      <c r="T202" t="s">
        <v>29</v>
      </c>
      <c r="U202">
        <v>6.3073729999999995E-2</v>
      </c>
      <c r="V202" t="s">
        <v>378</v>
      </c>
      <c r="W202">
        <v>3.4689665000000001E-2</v>
      </c>
    </row>
    <row r="203" spans="1:23" x14ac:dyDescent="0.25">
      <c r="A203" s="3" t="str">
        <f>HYPERLINK("http://ids.si.edu/ids/deliveryService?id=NMAH-AHB2006q23058","NMAH-AHB2006q23058")</f>
        <v>NMAH-AHB2006q23058</v>
      </c>
      <c r="B203" s="3" t="s">
        <v>790</v>
      </c>
      <c r="C203" s="3">
        <v>1295847</v>
      </c>
      <c r="D203" s="3" t="s">
        <v>424</v>
      </c>
      <c r="E203" s="4" t="s">
        <v>425</v>
      </c>
      <c r="F203" t="s">
        <v>126</v>
      </c>
      <c r="G203">
        <v>0.84392750263214111</v>
      </c>
      <c r="L203" t="s">
        <v>65</v>
      </c>
      <c r="M203">
        <v>0.90279959999999992</v>
      </c>
      <c r="N203" t="s">
        <v>129</v>
      </c>
      <c r="O203">
        <v>2.2905014000000001E-2</v>
      </c>
      <c r="P203" t="s">
        <v>303</v>
      </c>
      <c r="Q203" s="4">
        <v>1.416891E-2</v>
      </c>
      <c r="R203" t="s">
        <v>65</v>
      </c>
      <c r="S203">
        <v>0.67647430000000008</v>
      </c>
      <c r="T203" t="s">
        <v>129</v>
      </c>
      <c r="U203">
        <v>3.9137940000000003E-2</v>
      </c>
      <c r="V203" t="s">
        <v>66</v>
      </c>
      <c r="W203">
        <v>3.4895793000000001E-2</v>
      </c>
    </row>
    <row r="204" spans="1:23" x14ac:dyDescent="0.25">
      <c r="A204" s="3" t="str">
        <f>HYPERLINK("http://ids.si.edu/ids/deliveryService?id=NMAH-AHB2012q32396","NMAH-AHB2012q32396")</f>
        <v>NMAH-AHB2012q32396</v>
      </c>
      <c r="B204" s="3" t="s">
        <v>791</v>
      </c>
      <c r="C204" s="3">
        <v>1299588</v>
      </c>
      <c r="D204" s="3" t="s">
        <v>424</v>
      </c>
      <c r="E204" s="4" t="s">
        <v>746</v>
      </c>
      <c r="F204" t="s">
        <v>582</v>
      </c>
      <c r="G204">
        <v>0.95091205835342407</v>
      </c>
      <c r="H204" t="s">
        <v>581</v>
      </c>
      <c r="I204">
        <v>0.93717288970947266</v>
      </c>
      <c r="J204" t="s">
        <v>583</v>
      </c>
      <c r="K204" s="4">
        <v>0.74558430910110474</v>
      </c>
      <c r="L204" t="s">
        <v>580</v>
      </c>
      <c r="M204">
        <v>0.99999889999999991</v>
      </c>
      <c r="N204" t="s">
        <v>584</v>
      </c>
      <c r="O204">
        <v>6.7621493999999996E-7</v>
      </c>
      <c r="P204" t="s">
        <v>585</v>
      </c>
      <c r="Q204" s="4">
        <v>1.8459715999999999E-7</v>
      </c>
      <c r="R204" t="s">
        <v>580</v>
      </c>
      <c r="S204">
        <v>0.99769089999999994</v>
      </c>
      <c r="T204" t="s">
        <v>628</v>
      </c>
      <c r="U204">
        <v>1.7874123E-3</v>
      </c>
      <c r="V204" t="s">
        <v>302</v>
      </c>
      <c r="W204">
        <v>2.2924499999999999E-4</v>
      </c>
    </row>
    <row r="205" spans="1:23" x14ac:dyDescent="0.25">
      <c r="A205" s="3" t="str">
        <f>HYPERLINK("http://ids.si.edu/ids/deliveryService?id=NMAH-78-9944","NMAH-78-9944")</f>
        <v>NMAH-78-9944</v>
      </c>
      <c r="B205" s="3" t="s">
        <v>792</v>
      </c>
      <c r="C205" s="3">
        <v>606679</v>
      </c>
      <c r="D205" s="3" t="s">
        <v>424</v>
      </c>
      <c r="E205" s="4" t="s">
        <v>793</v>
      </c>
      <c r="F205" t="s">
        <v>433</v>
      </c>
      <c r="G205">
        <v>0.97555851936340332</v>
      </c>
      <c r="H205" t="s">
        <v>794</v>
      </c>
      <c r="I205">
        <v>0.96512299776077271</v>
      </c>
      <c r="J205" t="s">
        <v>795</v>
      </c>
      <c r="K205" s="4">
        <v>0.96357572078704834</v>
      </c>
      <c r="L205" t="s">
        <v>536</v>
      </c>
      <c r="M205">
        <v>0.98561065999999997</v>
      </c>
      <c r="N205" t="s">
        <v>718</v>
      </c>
      <c r="O205">
        <v>8.9655749999999999E-3</v>
      </c>
      <c r="P205" t="s">
        <v>215</v>
      </c>
      <c r="Q205" s="4">
        <v>2.5113983999999999E-3</v>
      </c>
      <c r="R205" t="s">
        <v>536</v>
      </c>
      <c r="S205">
        <v>0.81675980000000004</v>
      </c>
      <c r="T205" t="s">
        <v>215</v>
      </c>
      <c r="U205">
        <v>0.13019320000000001</v>
      </c>
      <c r="V205" t="s">
        <v>214</v>
      </c>
      <c r="W205">
        <v>2.347863E-2</v>
      </c>
    </row>
    <row r="206" spans="1:23" x14ac:dyDescent="0.25">
      <c r="A206" s="3" t="str">
        <f>HYPERLINK("http://ids.si.edu/ids/deliveryService?id=NMAH-AHB2014q060845","NMAH-AHB2014q060845")</f>
        <v>NMAH-AHB2014q060845</v>
      </c>
      <c r="B206" s="3" t="s">
        <v>796</v>
      </c>
      <c r="C206" s="3">
        <v>301022</v>
      </c>
      <c r="D206" s="3" t="s">
        <v>797</v>
      </c>
      <c r="E206" s="4" t="s">
        <v>798</v>
      </c>
      <c r="F206" t="s">
        <v>799</v>
      </c>
      <c r="G206">
        <v>0.67410838603973389</v>
      </c>
      <c r="H206" t="s">
        <v>497</v>
      </c>
      <c r="I206">
        <v>0.64737522602081299</v>
      </c>
      <c r="J206" t="s">
        <v>800</v>
      </c>
      <c r="K206" s="4">
        <v>0.60846817493438721</v>
      </c>
      <c r="L206" t="s">
        <v>430</v>
      </c>
      <c r="M206">
        <v>0.45933309999999999</v>
      </c>
      <c r="N206" t="s">
        <v>498</v>
      </c>
      <c r="O206">
        <v>0.12427999000000001</v>
      </c>
      <c r="P206" t="s">
        <v>150</v>
      </c>
      <c r="Q206" s="4">
        <v>0.106325224</v>
      </c>
      <c r="R206" t="s">
        <v>239</v>
      </c>
      <c r="S206">
        <v>0.10393366</v>
      </c>
      <c r="T206" t="s">
        <v>149</v>
      </c>
      <c r="U206">
        <v>0.102436654</v>
      </c>
      <c r="V206" t="s">
        <v>801</v>
      </c>
      <c r="W206">
        <v>7.7430059999999995E-2</v>
      </c>
    </row>
    <row r="207" spans="1:23" x14ac:dyDescent="0.25">
      <c r="A207" s="3" t="str">
        <f>HYPERLINK("http://ids.si.edu/ids/deliveryService?id=NMAH-2003-24933-000001","NMAH-2003-24933-000001")</f>
        <v>NMAH-2003-24933-000001</v>
      </c>
      <c r="B207" s="3" t="s">
        <v>802</v>
      </c>
      <c r="C207" s="3">
        <v>324852</v>
      </c>
      <c r="D207" s="3" t="s">
        <v>797</v>
      </c>
      <c r="E207" s="4" t="s">
        <v>803</v>
      </c>
      <c r="F207" t="s">
        <v>264</v>
      </c>
      <c r="G207">
        <v>0.94967758655548096</v>
      </c>
      <c r="H207" t="s">
        <v>62</v>
      </c>
      <c r="I207">
        <v>0.88953715562820435</v>
      </c>
      <c r="J207" t="s">
        <v>265</v>
      </c>
      <c r="K207" s="4">
        <v>0.73946118354797363</v>
      </c>
      <c r="L207" t="s">
        <v>65</v>
      </c>
      <c r="M207">
        <v>0.56132084000000004</v>
      </c>
      <c r="N207" t="s">
        <v>804</v>
      </c>
      <c r="O207">
        <v>0.11109029500000001</v>
      </c>
      <c r="P207" t="s">
        <v>66</v>
      </c>
      <c r="Q207" s="4">
        <v>4.1323967000000003E-2</v>
      </c>
      <c r="R207" t="s">
        <v>65</v>
      </c>
      <c r="S207">
        <v>0.30509155999999998</v>
      </c>
      <c r="T207" t="s">
        <v>805</v>
      </c>
      <c r="U207">
        <v>0.11820758000000001</v>
      </c>
      <c r="V207" t="s">
        <v>378</v>
      </c>
      <c r="W207">
        <v>8.8994525000000005E-2</v>
      </c>
    </row>
    <row r="208" spans="1:23" x14ac:dyDescent="0.25">
      <c r="A208" s="3" t="str">
        <f>HYPERLINK("http://ids.si.edu/ids/deliveryService?id=NMAH-AHB2016q054035","NMAH-AHB2016q054035")</f>
        <v>NMAH-AHB2016q054035</v>
      </c>
      <c r="B208" s="3" t="s">
        <v>806</v>
      </c>
      <c r="C208" s="3">
        <v>1288307</v>
      </c>
      <c r="D208" s="3" t="s">
        <v>797</v>
      </c>
      <c r="E208" s="4" t="s">
        <v>807</v>
      </c>
      <c r="F208" t="s">
        <v>574</v>
      </c>
      <c r="G208">
        <v>0.93516266345977783</v>
      </c>
      <c r="H208" t="s">
        <v>808</v>
      </c>
      <c r="I208">
        <v>0.89161276817321777</v>
      </c>
      <c r="J208" t="s">
        <v>809</v>
      </c>
      <c r="K208" s="4">
        <v>0.62471252679824829</v>
      </c>
      <c r="L208" t="s">
        <v>416</v>
      </c>
      <c r="M208">
        <v>0.55282240000000005</v>
      </c>
      <c r="N208" t="s">
        <v>312</v>
      </c>
      <c r="O208">
        <v>0.115506604</v>
      </c>
      <c r="P208" t="s">
        <v>314</v>
      </c>
      <c r="Q208" s="4">
        <v>9.2309534999999998E-2</v>
      </c>
      <c r="R208" t="s">
        <v>314</v>
      </c>
      <c r="S208">
        <v>0.38382961999999998</v>
      </c>
      <c r="T208" t="s">
        <v>364</v>
      </c>
      <c r="U208">
        <v>0.22869709999999999</v>
      </c>
      <c r="V208" t="s">
        <v>416</v>
      </c>
      <c r="W208">
        <v>0.14677233000000001</v>
      </c>
    </row>
    <row r="209" spans="1:23" x14ac:dyDescent="0.25">
      <c r="A209" s="3" t="str">
        <f>HYPERLINK("http://ids.si.edu/ids/deliveryService?id=NMAH-AHB2017q094463","NMAH-AHB2017q094463")</f>
        <v>NMAH-AHB2017q094463</v>
      </c>
      <c r="B209" s="3" t="s">
        <v>810</v>
      </c>
      <c r="C209" s="3">
        <v>589314</v>
      </c>
      <c r="D209" s="3" t="s">
        <v>797</v>
      </c>
      <c r="E209" s="4" t="s">
        <v>811</v>
      </c>
      <c r="F209" t="s">
        <v>603</v>
      </c>
      <c r="G209">
        <v>0.9487798810005188</v>
      </c>
      <c r="H209" t="s">
        <v>812</v>
      </c>
      <c r="I209">
        <v>0.63916486501693726</v>
      </c>
      <c r="J209" t="s">
        <v>188</v>
      </c>
      <c r="K209" s="4">
        <v>0.54580080509185791</v>
      </c>
      <c r="L209" t="s">
        <v>239</v>
      </c>
      <c r="M209">
        <v>0.14857714</v>
      </c>
      <c r="N209" t="s">
        <v>149</v>
      </c>
      <c r="O209">
        <v>9.6745364E-2</v>
      </c>
      <c r="P209" t="s">
        <v>601</v>
      </c>
      <c r="Q209" s="4">
        <v>8.4935895999999997E-2</v>
      </c>
      <c r="R209" t="s">
        <v>813</v>
      </c>
      <c r="S209">
        <v>8.5745773999999997E-2</v>
      </c>
      <c r="T209" t="s">
        <v>369</v>
      </c>
      <c r="U209">
        <v>5.903253E-2</v>
      </c>
      <c r="V209" t="s">
        <v>151</v>
      </c>
      <c r="W209">
        <v>3.2673112999999997E-2</v>
      </c>
    </row>
    <row r="210" spans="1:23" x14ac:dyDescent="0.25">
      <c r="A210" s="3" t="str">
        <f>HYPERLINK("http://ids.si.edu/ids/deliveryService?id=NMAH-AHB2013q090107","NMAH-AHB2013q090107")</f>
        <v>NMAH-AHB2013q090107</v>
      </c>
      <c r="B210" s="3" t="s">
        <v>814</v>
      </c>
      <c r="C210" s="3">
        <v>319600</v>
      </c>
      <c r="D210" s="3" t="s">
        <v>797</v>
      </c>
      <c r="E210" s="4" t="s">
        <v>322</v>
      </c>
      <c r="F210" t="s">
        <v>815</v>
      </c>
      <c r="G210">
        <v>0.54727482795715332</v>
      </c>
      <c r="H210" t="s">
        <v>816</v>
      </c>
      <c r="I210">
        <v>0.50343799591064453</v>
      </c>
      <c r="L210" t="s">
        <v>83</v>
      </c>
      <c r="M210">
        <v>0.5495026999999999</v>
      </c>
      <c r="N210" t="s">
        <v>84</v>
      </c>
      <c r="O210">
        <v>0.14301124000000001</v>
      </c>
      <c r="P210" t="s">
        <v>141</v>
      </c>
      <c r="Q210" s="4">
        <v>5.148022E-2</v>
      </c>
      <c r="R210" t="s">
        <v>83</v>
      </c>
      <c r="S210">
        <v>0.27658453999999999</v>
      </c>
      <c r="T210" t="s">
        <v>141</v>
      </c>
      <c r="U210">
        <v>0.2142414</v>
      </c>
      <c r="V210" t="s">
        <v>157</v>
      </c>
      <c r="W210">
        <v>0.11788206</v>
      </c>
    </row>
    <row r="211" spans="1:23" x14ac:dyDescent="0.25">
      <c r="A211" s="3" t="str">
        <f>HYPERLINK("http://ids.si.edu/ids/deliveryService?id=NMAH-AHB2014q060976","NMAH-AHB2014q060976")</f>
        <v>NMAH-AHB2014q060976</v>
      </c>
      <c r="B211" s="3" t="s">
        <v>817</v>
      </c>
      <c r="C211" s="3">
        <v>301109</v>
      </c>
      <c r="D211" s="3" t="s">
        <v>797</v>
      </c>
      <c r="E211" s="4" t="s">
        <v>818</v>
      </c>
      <c r="F211" t="s">
        <v>506</v>
      </c>
      <c r="G211">
        <v>0.8503495454788208</v>
      </c>
      <c r="H211" t="s">
        <v>505</v>
      </c>
      <c r="I211">
        <v>0.78839987516403198</v>
      </c>
      <c r="J211" t="s">
        <v>819</v>
      </c>
      <c r="K211" s="4">
        <v>0.74410736560821533</v>
      </c>
      <c r="L211" t="s">
        <v>820</v>
      </c>
      <c r="M211">
        <v>0.31171420000000011</v>
      </c>
      <c r="N211" t="s">
        <v>700</v>
      </c>
      <c r="O211">
        <v>4.6422935999999998E-2</v>
      </c>
      <c r="P211" t="s">
        <v>821</v>
      </c>
      <c r="Q211" s="4">
        <v>4.4197470000000003E-2</v>
      </c>
      <c r="R211" t="s">
        <v>30</v>
      </c>
      <c r="S211">
        <v>9.3502509999999997E-2</v>
      </c>
      <c r="T211" t="s">
        <v>175</v>
      </c>
      <c r="U211">
        <v>9.3467149999999999E-2</v>
      </c>
      <c r="V211" t="s">
        <v>822</v>
      </c>
      <c r="W211">
        <v>8.5916414999999996E-2</v>
      </c>
    </row>
    <row r="212" spans="1:23" x14ac:dyDescent="0.25">
      <c r="A212" s="3" t="str">
        <f>HYPERLINK("http://ids.si.edu/ids/deliveryService?id=NMAH-AHB2014q061151","NMAH-AHB2014q061151")</f>
        <v>NMAH-AHB2014q061151</v>
      </c>
      <c r="B212" s="3" t="s">
        <v>823</v>
      </c>
      <c r="C212" s="3">
        <v>301141</v>
      </c>
      <c r="D212" s="3" t="s">
        <v>797</v>
      </c>
      <c r="E212" s="4" t="s">
        <v>824</v>
      </c>
      <c r="F212" t="s">
        <v>112</v>
      </c>
      <c r="G212">
        <v>0.74956268072128296</v>
      </c>
      <c r="H212" t="s">
        <v>50</v>
      </c>
      <c r="I212">
        <v>0.7381446361541748</v>
      </c>
      <c r="J212" t="s">
        <v>188</v>
      </c>
      <c r="K212" s="4">
        <v>0.72967422008514404</v>
      </c>
      <c r="L212" t="s">
        <v>65</v>
      </c>
      <c r="M212">
        <v>0.116107136</v>
      </c>
      <c r="N212" t="s">
        <v>566</v>
      </c>
      <c r="O212">
        <v>0.112667516</v>
      </c>
      <c r="P212" t="s">
        <v>336</v>
      </c>
      <c r="Q212" s="4">
        <v>0.10868857</v>
      </c>
      <c r="R212" t="s">
        <v>303</v>
      </c>
      <c r="S212">
        <v>0.16063274</v>
      </c>
      <c r="T212" t="s">
        <v>95</v>
      </c>
      <c r="U212">
        <v>0.13439151999999999</v>
      </c>
      <c r="V212" t="s">
        <v>159</v>
      </c>
      <c r="W212">
        <v>0.10008793000000001</v>
      </c>
    </row>
    <row r="213" spans="1:23" x14ac:dyDescent="0.25">
      <c r="A213" s="3" t="str">
        <f>HYPERLINK("http://ids.si.edu/ids/deliveryService?id=NMAH-AHB2013q102322","NMAH-AHB2013q102322")</f>
        <v>NMAH-AHB2013q102322</v>
      </c>
      <c r="B213" s="3" t="s">
        <v>825</v>
      </c>
      <c r="C213" s="3">
        <v>310541</v>
      </c>
      <c r="D213" s="3" t="s">
        <v>797</v>
      </c>
      <c r="E213" s="4" t="s">
        <v>826</v>
      </c>
      <c r="F213" t="s">
        <v>300</v>
      </c>
      <c r="G213">
        <v>0.76639676094055176</v>
      </c>
      <c r="H213" t="s">
        <v>50</v>
      </c>
      <c r="I213">
        <v>0.60706108808517456</v>
      </c>
      <c r="J213" t="s">
        <v>827</v>
      </c>
      <c r="K213" s="4">
        <v>0.51991373300552368</v>
      </c>
      <c r="L213" t="s">
        <v>828</v>
      </c>
      <c r="M213">
        <v>0.57834230000000009</v>
      </c>
      <c r="N213" t="s">
        <v>829</v>
      </c>
      <c r="O213">
        <v>9.7830379999999995E-2</v>
      </c>
      <c r="P213" t="s">
        <v>749</v>
      </c>
      <c r="Q213" s="4">
        <v>8.7052900000000003E-2</v>
      </c>
      <c r="R213" t="s">
        <v>829</v>
      </c>
      <c r="S213">
        <v>0.11676447</v>
      </c>
      <c r="T213" t="s">
        <v>828</v>
      </c>
      <c r="U213">
        <v>0.10888181600000001</v>
      </c>
      <c r="V213" t="s">
        <v>66</v>
      </c>
      <c r="W213">
        <v>6.8689609999999998E-2</v>
      </c>
    </row>
    <row r="214" spans="1:23" x14ac:dyDescent="0.25">
      <c r="A214" s="3" t="str">
        <f>HYPERLINK("http://ids.si.edu/ids/deliveryService?id=NMAH-AHB2014q102441","NMAH-AHB2014q102441")</f>
        <v>NMAH-AHB2014q102441</v>
      </c>
      <c r="B214" s="3" t="s">
        <v>830</v>
      </c>
      <c r="C214" s="3">
        <v>572123</v>
      </c>
      <c r="D214" s="3" t="s">
        <v>797</v>
      </c>
      <c r="E214" s="4" t="s">
        <v>831</v>
      </c>
      <c r="F214" t="s">
        <v>799</v>
      </c>
      <c r="G214">
        <v>0.89856600761413574</v>
      </c>
      <c r="H214" t="s">
        <v>497</v>
      </c>
      <c r="I214">
        <v>0.86505001783370972</v>
      </c>
      <c r="J214" t="s">
        <v>832</v>
      </c>
      <c r="K214" s="4">
        <v>0.83632558584213257</v>
      </c>
      <c r="L214" t="s">
        <v>97</v>
      </c>
      <c r="M214">
        <v>0.82937324000000001</v>
      </c>
      <c r="N214" t="s">
        <v>273</v>
      </c>
      <c r="O214">
        <v>5.3507699999999998E-2</v>
      </c>
      <c r="P214" t="s">
        <v>464</v>
      </c>
      <c r="Q214" s="4">
        <v>1.3828603E-2</v>
      </c>
      <c r="R214" t="s">
        <v>464</v>
      </c>
      <c r="S214">
        <v>0.16397566999999999</v>
      </c>
      <c r="T214" t="s">
        <v>30</v>
      </c>
      <c r="U214">
        <v>0.10590226</v>
      </c>
      <c r="V214" t="s">
        <v>96</v>
      </c>
      <c r="W214">
        <v>4.3769250000000003E-2</v>
      </c>
    </row>
    <row r="215" spans="1:23" x14ac:dyDescent="0.25">
      <c r="A215" s="3" t="str">
        <f>HYPERLINK("http://ids.si.edu/ids/deliveryService?id=NMAH-AHB2014q059667-000002","NMAH-AHB2014q059667-000002")</f>
        <v>NMAH-AHB2014q059667-000002</v>
      </c>
      <c r="B215" s="3" t="s">
        <v>833</v>
      </c>
      <c r="C215" s="3">
        <v>315518</v>
      </c>
      <c r="D215" s="3" t="s">
        <v>797</v>
      </c>
      <c r="E215" s="4" t="s">
        <v>834</v>
      </c>
      <c r="F215" t="s">
        <v>91</v>
      </c>
      <c r="G215">
        <v>0.88283330202102661</v>
      </c>
      <c r="L215" t="s">
        <v>83</v>
      </c>
      <c r="M215">
        <v>0.31054870000000001</v>
      </c>
      <c r="N215" t="s">
        <v>175</v>
      </c>
      <c r="O215">
        <v>0.18791594</v>
      </c>
      <c r="P215" t="s">
        <v>78</v>
      </c>
      <c r="Q215" s="4">
        <v>0.13463396</v>
      </c>
      <c r="R215" t="s">
        <v>141</v>
      </c>
      <c r="S215">
        <v>0.15416162999999999</v>
      </c>
      <c r="T215" t="s">
        <v>175</v>
      </c>
      <c r="U215">
        <v>9.799629E-2</v>
      </c>
      <c r="V215" t="s">
        <v>495</v>
      </c>
      <c r="W215">
        <v>9.1911740000000006E-2</v>
      </c>
    </row>
    <row r="216" spans="1:23" x14ac:dyDescent="0.25">
      <c r="A216" s="3" t="str">
        <f>HYPERLINK("http://ids.si.edu/ids/deliveryService?id=NMAH-AHB2014q101568","NMAH-AHB2014q101568")</f>
        <v>NMAH-AHB2014q101568</v>
      </c>
      <c r="B216" s="3" t="s">
        <v>835</v>
      </c>
      <c r="C216" s="3">
        <v>571651</v>
      </c>
      <c r="D216" s="3" t="s">
        <v>797</v>
      </c>
      <c r="E216" s="4" t="s">
        <v>836</v>
      </c>
      <c r="F216" t="s">
        <v>832</v>
      </c>
      <c r="G216">
        <v>0.9787137508392334</v>
      </c>
      <c r="H216" t="s">
        <v>271</v>
      </c>
      <c r="I216">
        <v>0.96301025152206421</v>
      </c>
      <c r="J216" t="s">
        <v>837</v>
      </c>
      <c r="K216" s="4">
        <v>0.92276573181152344</v>
      </c>
      <c r="L216" t="s">
        <v>464</v>
      </c>
      <c r="M216">
        <v>0.71576786000000003</v>
      </c>
      <c r="N216" t="s">
        <v>30</v>
      </c>
      <c r="O216">
        <v>4.9047305999999999E-2</v>
      </c>
      <c r="P216" t="s">
        <v>821</v>
      </c>
      <c r="Q216" s="4">
        <v>4.5433256999999998E-2</v>
      </c>
      <c r="R216" t="s">
        <v>364</v>
      </c>
      <c r="S216">
        <v>0.28246850000000001</v>
      </c>
      <c r="T216" t="s">
        <v>159</v>
      </c>
      <c r="U216">
        <v>8.0625329999999995E-2</v>
      </c>
      <c r="V216" t="s">
        <v>95</v>
      </c>
      <c r="W216">
        <v>5.3842288000000002E-2</v>
      </c>
    </row>
    <row r="217" spans="1:23" x14ac:dyDescent="0.25">
      <c r="A217" s="3" t="str">
        <f>HYPERLINK("http://ids.si.edu/ids/deliveryService?id=NMAH-AHB2014q066460","NMAH-AHB2014q066460")</f>
        <v>NMAH-AHB2014q066460</v>
      </c>
      <c r="B217" s="3" t="s">
        <v>838</v>
      </c>
      <c r="C217" s="3">
        <v>315252</v>
      </c>
      <c r="D217" s="3" t="s">
        <v>797</v>
      </c>
      <c r="E217" s="4" t="s">
        <v>839</v>
      </c>
      <c r="F217" t="s">
        <v>61</v>
      </c>
      <c r="G217">
        <v>0.85248786211013794</v>
      </c>
      <c r="H217" t="s">
        <v>486</v>
      </c>
      <c r="I217">
        <v>0.79089254140853882</v>
      </c>
      <c r="J217" t="s">
        <v>112</v>
      </c>
      <c r="K217" s="4">
        <v>0.68572378158569336</v>
      </c>
      <c r="L217" t="s">
        <v>253</v>
      </c>
      <c r="M217">
        <v>0.89116030000000013</v>
      </c>
      <c r="N217" t="s">
        <v>398</v>
      </c>
      <c r="O217">
        <v>0.102288686</v>
      </c>
      <c r="P217" t="s">
        <v>260</v>
      </c>
      <c r="Q217" s="4">
        <v>1.3412883E-3</v>
      </c>
      <c r="R217" t="s">
        <v>398</v>
      </c>
      <c r="S217">
        <v>0.51410129999999998</v>
      </c>
      <c r="T217" t="s">
        <v>260</v>
      </c>
      <c r="U217">
        <v>9.0394719999999998E-2</v>
      </c>
      <c r="V217" t="s">
        <v>426</v>
      </c>
      <c r="W217">
        <v>8.2539804000000008E-2</v>
      </c>
    </row>
    <row r="218" spans="1:23" x14ac:dyDescent="0.25">
      <c r="A218" s="3" t="str">
        <f>HYPERLINK("http://ids.si.edu/ids/deliveryService?id=NMAH-AHB2014q066602","NMAH-AHB2014q066602")</f>
        <v>NMAH-AHB2014q066602</v>
      </c>
      <c r="B218" s="3" t="s">
        <v>840</v>
      </c>
      <c r="C218" s="3">
        <v>1461106</v>
      </c>
      <c r="D218" s="3" t="s">
        <v>797</v>
      </c>
      <c r="E218" s="4" t="s">
        <v>740</v>
      </c>
      <c r="F218" t="s">
        <v>256</v>
      </c>
      <c r="G218">
        <v>0.8041832447052002</v>
      </c>
      <c r="H218" t="s">
        <v>147</v>
      </c>
      <c r="I218">
        <v>0.74576014280319214</v>
      </c>
      <c r="J218" t="s">
        <v>38</v>
      </c>
      <c r="K218" s="4">
        <v>0.57686591148376465</v>
      </c>
      <c r="L218" t="s">
        <v>152</v>
      </c>
      <c r="M218">
        <v>0.37976238000000001</v>
      </c>
      <c r="N218" t="s">
        <v>151</v>
      </c>
      <c r="O218">
        <v>9.3123810000000001E-2</v>
      </c>
      <c r="P218" t="s">
        <v>185</v>
      </c>
      <c r="Q218" s="4">
        <v>4.9454194000000007E-2</v>
      </c>
      <c r="R218" t="s">
        <v>185</v>
      </c>
      <c r="S218">
        <v>0.18358569999999999</v>
      </c>
      <c r="T218" t="s">
        <v>152</v>
      </c>
      <c r="U218">
        <v>0.1148183</v>
      </c>
      <c r="V218" t="s">
        <v>151</v>
      </c>
      <c r="W218">
        <v>9.8915379999999997E-2</v>
      </c>
    </row>
    <row r="219" spans="1:23" x14ac:dyDescent="0.25">
      <c r="A219" s="3" t="str">
        <f>HYPERLINK("http://ids.si.edu/ids/deliveryService?id=NMAH-AHB2013q098058","NMAH-AHB2013q098058")</f>
        <v>NMAH-AHB2013q098058</v>
      </c>
      <c r="B219" s="3" t="s">
        <v>841</v>
      </c>
      <c r="C219" s="3">
        <v>1452437</v>
      </c>
      <c r="D219" s="3" t="s">
        <v>797</v>
      </c>
      <c r="E219" s="4" t="s">
        <v>842</v>
      </c>
      <c r="F219" t="s">
        <v>61</v>
      </c>
      <c r="G219">
        <v>0.88115477561950684</v>
      </c>
      <c r="H219" t="s">
        <v>208</v>
      </c>
      <c r="I219">
        <v>0.71515905857086182</v>
      </c>
      <c r="J219" t="s">
        <v>112</v>
      </c>
      <c r="K219" s="4">
        <v>0.68572378158569336</v>
      </c>
      <c r="L219" t="s">
        <v>66</v>
      </c>
      <c r="M219">
        <v>0.26398057000000003</v>
      </c>
      <c r="N219" t="s">
        <v>571</v>
      </c>
      <c r="O219">
        <v>0.16830254</v>
      </c>
      <c r="P219" t="s">
        <v>369</v>
      </c>
      <c r="Q219" s="4">
        <v>4.2623300000000003E-2</v>
      </c>
      <c r="R219" t="s">
        <v>66</v>
      </c>
      <c r="S219">
        <v>0.42249269999999989</v>
      </c>
      <c r="T219" t="s">
        <v>369</v>
      </c>
      <c r="U219">
        <v>2.8243823000000001E-2</v>
      </c>
      <c r="V219" t="s">
        <v>843</v>
      </c>
      <c r="W219">
        <v>2.0118424999999999E-2</v>
      </c>
    </row>
    <row r="220" spans="1:23" x14ac:dyDescent="0.25">
      <c r="A220" s="3" t="str">
        <f>HYPERLINK("http://ids.si.edu/ids/deliveryService?id=NMAH-AHB2014q060835","NMAH-AHB2014q060835")</f>
        <v>NMAH-AHB2014q060835</v>
      </c>
      <c r="B220" s="3" t="s">
        <v>844</v>
      </c>
      <c r="C220" s="3">
        <v>1091076</v>
      </c>
      <c r="D220" s="3" t="s">
        <v>797</v>
      </c>
      <c r="E220" s="4" t="s">
        <v>86</v>
      </c>
      <c r="F220" t="s">
        <v>845</v>
      </c>
      <c r="G220">
        <v>0.97458547353744507</v>
      </c>
      <c r="H220" t="s">
        <v>845</v>
      </c>
      <c r="I220">
        <v>0.9323086142539978</v>
      </c>
      <c r="J220" t="s">
        <v>846</v>
      </c>
      <c r="K220" s="4">
        <v>0.92159557342529297</v>
      </c>
      <c r="L220" t="s">
        <v>86</v>
      </c>
      <c r="M220">
        <v>0.62290274999999995</v>
      </c>
      <c r="N220" t="s">
        <v>821</v>
      </c>
      <c r="O220">
        <v>7.4040729999999999E-2</v>
      </c>
      <c r="P220" t="s">
        <v>847</v>
      </c>
      <c r="Q220" s="4">
        <v>6.2462337E-2</v>
      </c>
      <c r="R220" t="s">
        <v>86</v>
      </c>
      <c r="S220">
        <v>0.17201594000000001</v>
      </c>
      <c r="T220" t="s">
        <v>848</v>
      </c>
      <c r="U220">
        <v>0.13850382999999999</v>
      </c>
      <c r="V220" t="s">
        <v>498</v>
      </c>
      <c r="W220">
        <v>0.11028565</v>
      </c>
    </row>
    <row r="221" spans="1:23" x14ac:dyDescent="0.25">
      <c r="A221" s="3" t="str">
        <f>HYPERLINK("http://ids.si.edu/ids/deliveryService?id=NMAH-AHB2013q080700","NMAH-AHB2013q080700")</f>
        <v>NMAH-AHB2013q080700</v>
      </c>
      <c r="B221" s="3" t="s">
        <v>849</v>
      </c>
      <c r="C221" s="3">
        <v>301726</v>
      </c>
      <c r="D221" s="3" t="s">
        <v>797</v>
      </c>
      <c r="E221" s="4" t="s">
        <v>850</v>
      </c>
      <c r="F221" t="s">
        <v>851</v>
      </c>
      <c r="G221">
        <v>0.96748065948486328</v>
      </c>
      <c r="H221" t="s">
        <v>816</v>
      </c>
      <c r="I221">
        <v>0.93964594602584839</v>
      </c>
      <c r="J221" t="s">
        <v>809</v>
      </c>
      <c r="K221" s="4">
        <v>0.82079172134399414</v>
      </c>
      <c r="L221" t="s">
        <v>498</v>
      </c>
      <c r="M221">
        <v>0.44334567000000003</v>
      </c>
      <c r="N221" t="s">
        <v>83</v>
      </c>
      <c r="O221">
        <v>0.28107330000000003</v>
      </c>
      <c r="P221" t="s">
        <v>703</v>
      </c>
      <c r="Q221" s="4">
        <v>8.3065145000000007E-2</v>
      </c>
      <c r="R221" t="s">
        <v>83</v>
      </c>
      <c r="S221">
        <v>0.42406670000000002</v>
      </c>
      <c r="T221" t="s">
        <v>157</v>
      </c>
      <c r="U221">
        <v>6.9000350000000002E-2</v>
      </c>
      <c r="V221" t="s">
        <v>66</v>
      </c>
      <c r="W221">
        <v>4.6381045000000003E-2</v>
      </c>
    </row>
    <row r="222" spans="1:23" x14ac:dyDescent="0.25">
      <c r="A222" s="3" t="str">
        <f>HYPERLINK("http://ids.si.edu/ids/deliveryService?id=NMAH-AHB2014q060282","NMAH-AHB2014q060282")</f>
        <v>NMAH-AHB2014q060282</v>
      </c>
      <c r="B222" s="3" t="s">
        <v>852</v>
      </c>
      <c r="C222" s="3">
        <v>300684</v>
      </c>
      <c r="D222" s="3" t="s">
        <v>797</v>
      </c>
      <c r="E222" s="4" t="s">
        <v>853</v>
      </c>
      <c r="F222" t="s">
        <v>854</v>
      </c>
      <c r="G222">
        <v>0.98595297336578369</v>
      </c>
      <c r="H222" t="s">
        <v>855</v>
      </c>
      <c r="I222">
        <v>0.96947979927062988</v>
      </c>
      <c r="J222" t="s">
        <v>856</v>
      </c>
      <c r="K222" s="4">
        <v>0.96870309114456177</v>
      </c>
      <c r="L222" t="s">
        <v>853</v>
      </c>
      <c r="M222">
        <v>0.88181930000000008</v>
      </c>
      <c r="N222" t="s">
        <v>857</v>
      </c>
      <c r="O222">
        <v>5.6946177000000001E-2</v>
      </c>
      <c r="P222" t="s">
        <v>821</v>
      </c>
      <c r="Q222" s="4">
        <v>3.4569427E-2</v>
      </c>
      <c r="R222" t="s">
        <v>853</v>
      </c>
      <c r="S222">
        <v>0.723024</v>
      </c>
      <c r="T222" t="s">
        <v>857</v>
      </c>
      <c r="U222">
        <v>0.22001055999999999</v>
      </c>
      <c r="V222" t="s">
        <v>30</v>
      </c>
      <c r="W222">
        <v>2.7997306E-2</v>
      </c>
    </row>
    <row r="223" spans="1:23" x14ac:dyDescent="0.25">
      <c r="A223" s="3" t="str">
        <f>HYPERLINK("http://ids.si.edu/ids/deliveryService?id=NMAH-RWS2016-08395","NMAH-RWS2016-08395")</f>
        <v>NMAH-RWS2016-08395</v>
      </c>
      <c r="B223" s="3" t="s">
        <v>858</v>
      </c>
      <c r="C223" s="3">
        <v>335092</v>
      </c>
      <c r="D223" s="3" t="s">
        <v>797</v>
      </c>
      <c r="E223" s="4" t="s">
        <v>803</v>
      </c>
      <c r="F223" t="s">
        <v>859</v>
      </c>
      <c r="G223">
        <v>0.9890478253364563</v>
      </c>
      <c r="H223" t="s">
        <v>860</v>
      </c>
      <c r="I223">
        <v>0.98762071132659912</v>
      </c>
      <c r="J223" t="s">
        <v>861</v>
      </c>
      <c r="K223" s="4">
        <v>0.98511040210723877</v>
      </c>
      <c r="L223" t="s">
        <v>862</v>
      </c>
      <c r="M223">
        <v>0.81542753999999995</v>
      </c>
      <c r="N223" t="s">
        <v>863</v>
      </c>
      <c r="O223">
        <v>3.7975202999999999E-2</v>
      </c>
      <c r="P223" t="s">
        <v>864</v>
      </c>
      <c r="Q223" s="4">
        <v>2.0126054000000001E-2</v>
      </c>
      <c r="R223" t="s">
        <v>865</v>
      </c>
      <c r="S223">
        <v>0.29754134999999998</v>
      </c>
      <c r="T223" t="s">
        <v>863</v>
      </c>
      <c r="U223">
        <v>0.17996350999999999</v>
      </c>
      <c r="V223" t="s">
        <v>866</v>
      </c>
      <c r="W223">
        <v>0.1209591</v>
      </c>
    </row>
    <row r="224" spans="1:23" x14ac:dyDescent="0.25">
      <c r="A224" s="3" t="str">
        <f>HYPERLINK("http://ids.si.edu/ids/deliveryService?id=NMAH-AHB2018q000027","NMAH-AHB2018q000027")</f>
        <v>NMAH-AHB2018q000027</v>
      </c>
      <c r="B224" s="3" t="s">
        <v>867</v>
      </c>
      <c r="C224" s="3">
        <v>627370</v>
      </c>
      <c r="D224" s="3" t="s">
        <v>797</v>
      </c>
      <c r="E224" s="4" t="s">
        <v>868</v>
      </c>
      <c r="F224" t="s">
        <v>869</v>
      </c>
      <c r="G224">
        <v>0.85426199436187744</v>
      </c>
      <c r="H224" t="s">
        <v>870</v>
      </c>
      <c r="I224">
        <v>0.85016077756881714</v>
      </c>
      <c r="J224" t="s">
        <v>871</v>
      </c>
      <c r="K224" s="4">
        <v>0.80620676279067993</v>
      </c>
      <c r="L224" t="s">
        <v>197</v>
      </c>
      <c r="M224">
        <v>0.64251350000000007</v>
      </c>
      <c r="N224" t="s">
        <v>57</v>
      </c>
      <c r="O224">
        <v>0.27957585000000001</v>
      </c>
      <c r="P224" t="s">
        <v>872</v>
      </c>
      <c r="Q224" s="4">
        <v>5.5313830000000001E-2</v>
      </c>
      <c r="R224" t="s">
        <v>57</v>
      </c>
      <c r="S224">
        <v>0.64398246999999997</v>
      </c>
      <c r="T224" t="s">
        <v>873</v>
      </c>
      <c r="U224">
        <v>9.1135839999999996E-2</v>
      </c>
      <c r="V224" t="s">
        <v>197</v>
      </c>
      <c r="W224">
        <v>7.9603660000000007E-2</v>
      </c>
    </row>
    <row r="225" spans="1:23" x14ac:dyDescent="0.25">
      <c r="A225" s="3" t="str">
        <f>HYPERLINK("http://ids.si.edu/ids/deliveryService?id=NMAH-AHB2017q037104","NMAH-AHB2017q037104")</f>
        <v>NMAH-AHB2017q037104</v>
      </c>
      <c r="B225" s="3" t="s">
        <v>874</v>
      </c>
      <c r="C225" s="3">
        <v>591850</v>
      </c>
      <c r="D225" s="3" t="s">
        <v>797</v>
      </c>
      <c r="E225" s="4" t="s">
        <v>875</v>
      </c>
      <c r="F225" t="s">
        <v>236</v>
      </c>
      <c r="G225">
        <v>0.54227489233016968</v>
      </c>
      <c r="H225" t="s">
        <v>50</v>
      </c>
      <c r="I225">
        <v>0.5114516019821167</v>
      </c>
      <c r="L225" t="s">
        <v>678</v>
      </c>
      <c r="M225">
        <v>0.22467382</v>
      </c>
      <c r="N225" t="s">
        <v>336</v>
      </c>
      <c r="O225">
        <v>9.187095599999999E-2</v>
      </c>
      <c r="P225" t="s">
        <v>876</v>
      </c>
      <c r="Q225" s="4">
        <v>6.0196430000000002E-2</v>
      </c>
      <c r="R225" t="s">
        <v>84</v>
      </c>
      <c r="S225">
        <v>5.2312075999999999E-2</v>
      </c>
      <c r="T225" t="s">
        <v>678</v>
      </c>
      <c r="U225">
        <v>5.1054189999999999E-2</v>
      </c>
      <c r="V225" t="s">
        <v>648</v>
      </c>
      <c r="W225">
        <v>3.5167992000000002E-2</v>
      </c>
    </row>
    <row r="226" spans="1:23" x14ac:dyDescent="0.25">
      <c r="A226" s="3" t="str">
        <f>HYPERLINK("http://ids.si.edu/ids/deliveryService?id=NMAH-AHB2013q081932","NMAH-AHB2013q081932")</f>
        <v>NMAH-AHB2013q081932</v>
      </c>
      <c r="B226" s="3" t="s">
        <v>877</v>
      </c>
      <c r="C226" s="3">
        <v>302231</v>
      </c>
      <c r="D226" s="3" t="s">
        <v>797</v>
      </c>
      <c r="E226" s="4" t="s">
        <v>850</v>
      </c>
      <c r="F226" t="s">
        <v>851</v>
      </c>
      <c r="G226">
        <v>0.96270215511322021</v>
      </c>
      <c r="H226" t="s">
        <v>816</v>
      </c>
      <c r="I226">
        <v>0.94215494394302368</v>
      </c>
      <c r="J226" t="s">
        <v>91</v>
      </c>
      <c r="K226" s="4">
        <v>0.88283330202102661</v>
      </c>
      <c r="L226" t="s">
        <v>498</v>
      </c>
      <c r="M226">
        <v>0.89072909999999994</v>
      </c>
      <c r="N226" t="s">
        <v>83</v>
      </c>
      <c r="O226">
        <v>6.8548105999999998E-2</v>
      </c>
      <c r="P226" t="s">
        <v>879</v>
      </c>
      <c r="Q226" s="4">
        <v>9.3760330000000006E-3</v>
      </c>
      <c r="R226" t="s">
        <v>83</v>
      </c>
      <c r="S226">
        <v>0.65966904000000004</v>
      </c>
      <c r="T226" t="s">
        <v>159</v>
      </c>
      <c r="U226">
        <v>7.9800200000000002E-2</v>
      </c>
      <c r="V226" t="s">
        <v>157</v>
      </c>
      <c r="W226">
        <v>7.8073575999999992E-2</v>
      </c>
    </row>
    <row r="227" spans="1:23" x14ac:dyDescent="0.25">
      <c r="A227" s="3" t="str">
        <f>HYPERLINK("http://ids.si.edu/ids/deliveryService?id=NMAH-AHB2013q091968","NMAH-AHB2013q091968")</f>
        <v>NMAH-AHB2013q091968</v>
      </c>
      <c r="B227" s="3" t="s">
        <v>880</v>
      </c>
      <c r="C227" s="3">
        <v>323885</v>
      </c>
      <c r="D227" s="3" t="s">
        <v>797</v>
      </c>
      <c r="E227" s="4" t="s">
        <v>881</v>
      </c>
      <c r="F227" t="s">
        <v>328</v>
      </c>
      <c r="G227">
        <v>0.64647847414016724</v>
      </c>
      <c r="H227" t="s">
        <v>323</v>
      </c>
      <c r="I227">
        <v>0.62126666307449341</v>
      </c>
      <c r="J227" t="s">
        <v>882</v>
      </c>
      <c r="K227" s="4">
        <v>0.5817829966545105</v>
      </c>
      <c r="L227" t="s">
        <v>83</v>
      </c>
      <c r="M227">
        <v>0.84992780000000001</v>
      </c>
      <c r="N227" t="s">
        <v>52</v>
      </c>
      <c r="O227">
        <v>3.0643638000000001E-2</v>
      </c>
      <c r="P227" t="s">
        <v>84</v>
      </c>
      <c r="Q227" s="4">
        <v>2.9967313999999998E-2</v>
      </c>
      <c r="R227" t="s">
        <v>84</v>
      </c>
      <c r="S227">
        <v>0.20519488</v>
      </c>
      <c r="T227" t="s">
        <v>83</v>
      </c>
      <c r="U227">
        <v>0.13740182000000001</v>
      </c>
      <c r="V227" t="s">
        <v>389</v>
      </c>
      <c r="W227">
        <v>0.118808545</v>
      </c>
    </row>
    <row r="228" spans="1:23" x14ac:dyDescent="0.25">
      <c r="A228" s="3" t="str">
        <f>HYPERLINK("http://ids.si.edu/ids/deliveryService?id=NMAH-AHB2017q093432","NMAH-AHB2017q093432")</f>
        <v>NMAH-AHB2017q093432</v>
      </c>
      <c r="B228" s="3" t="s">
        <v>883</v>
      </c>
      <c r="C228" s="3">
        <v>1073574</v>
      </c>
      <c r="D228" s="3" t="s">
        <v>797</v>
      </c>
      <c r="E228" s="4" t="s">
        <v>884</v>
      </c>
      <c r="F228" t="s">
        <v>885</v>
      </c>
      <c r="G228">
        <v>0.72660559415817261</v>
      </c>
      <c r="H228" t="s">
        <v>886</v>
      </c>
      <c r="I228">
        <v>0.69563847780227661</v>
      </c>
      <c r="J228" t="s">
        <v>887</v>
      </c>
      <c r="K228" s="4">
        <v>0.68647116422653198</v>
      </c>
      <c r="L228" t="s">
        <v>159</v>
      </c>
      <c r="M228">
        <v>0.82710766999999996</v>
      </c>
      <c r="N228" t="s">
        <v>888</v>
      </c>
      <c r="O228">
        <v>4.8876129999999997E-2</v>
      </c>
      <c r="P228" t="s">
        <v>175</v>
      </c>
      <c r="Q228" s="4">
        <v>1.2299551000000001E-2</v>
      </c>
      <c r="R228" t="s">
        <v>159</v>
      </c>
      <c r="S228">
        <v>0.39174235000000002</v>
      </c>
      <c r="T228" t="s">
        <v>888</v>
      </c>
      <c r="U228">
        <v>0.14431722</v>
      </c>
      <c r="V228" t="s">
        <v>464</v>
      </c>
      <c r="W228">
        <v>4.5951503999999997E-2</v>
      </c>
    </row>
    <row r="229" spans="1:23" x14ac:dyDescent="0.25">
      <c r="A229" s="3" t="str">
        <f>HYPERLINK("http://ids.si.edu/ids/deliveryService?id=NMAH-AHB2014q059675-000002","NMAH-AHB2014q059675-000002")</f>
        <v>NMAH-AHB2014q059675-000002</v>
      </c>
      <c r="B229" s="3" t="s">
        <v>889</v>
      </c>
      <c r="C229" s="3">
        <v>315522</v>
      </c>
      <c r="D229" s="3" t="s">
        <v>797</v>
      </c>
      <c r="E229" s="4" t="s">
        <v>834</v>
      </c>
      <c r="F229" t="s">
        <v>91</v>
      </c>
      <c r="G229">
        <v>0.88283330202102661</v>
      </c>
      <c r="H229" t="s">
        <v>328</v>
      </c>
      <c r="I229">
        <v>0.51214945316314697</v>
      </c>
      <c r="L229" t="s">
        <v>83</v>
      </c>
      <c r="M229">
        <v>0.30387520000000001</v>
      </c>
      <c r="N229" t="s">
        <v>175</v>
      </c>
      <c r="O229">
        <v>0.19731134</v>
      </c>
      <c r="P229" t="s">
        <v>84</v>
      </c>
      <c r="Q229" s="4">
        <v>0.18337829999999999</v>
      </c>
      <c r="R229" t="s">
        <v>141</v>
      </c>
      <c r="S229">
        <v>0.17163149</v>
      </c>
      <c r="T229" t="s">
        <v>175</v>
      </c>
      <c r="U229">
        <v>0.12800935999999999</v>
      </c>
      <c r="V229" t="s">
        <v>83</v>
      </c>
      <c r="W229">
        <v>7.2061630000000002E-2</v>
      </c>
    </row>
    <row r="230" spans="1:23" x14ac:dyDescent="0.25">
      <c r="A230" s="3" t="str">
        <f>HYPERLINK("http://ids.si.edu/ids/deliveryService?id=NMAH-AHB2014q070385","NMAH-AHB2014q070385")</f>
        <v>NMAH-AHB2014q070385</v>
      </c>
      <c r="B230" s="3" t="s">
        <v>890</v>
      </c>
      <c r="C230" s="3">
        <v>867293</v>
      </c>
      <c r="D230" s="3" t="s">
        <v>797</v>
      </c>
      <c r="E230" s="4" t="s">
        <v>891</v>
      </c>
      <c r="F230" t="s">
        <v>271</v>
      </c>
      <c r="G230">
        <v>0.91184282302856445</v>
      </c>
      <c r="H230" t="s">
        <v>91</v>
      </c>
      <c r="I230">
        <v>0.88283330202102661</v>
      </c>
      <c r="J230" t="s">
        <v>892</v>
      </c>
      <c r="K230" s="4">
        <v>0.86195665597915649</v>
      </c>
      <c r="L230" t="s">
        <v>893</v>
      </c>
      <c r="M230">
        <v>0.35787964</v>
      </c>
      <c r="N230" t="s">
        <v>784</v>
      </c>
      <c r="O230">
        <v>0.26769510000000002</v>
      </c>
      <c r="P230" t="s">
        <v>150</v>
      </c>
      <c r="Q230" s="4">
        <v>4.8909184000000001E-2</v>
      </c>
      <c r="R230" t="s">
        <v>365</v>
      </c>
      <c r="S230">
        <v>0.10493421999999999</v>
      </c>
      <c r="T230" t="s">
        <v>312</v>
      </c>
      <c r="U230">
        <v>6.4532969999999995E-2</v>
      </c>
      <c r="V230" t="s">
        <v>364</v>
      </c>
      <c r="W230">
        <v>5.3103599999999987E-2</v>
      </c>
    </row>
    <row r="231" spans="1:23" x14ac:dyDescent="0.25">
      <c r="A231" s="3" t="str">
        <f>HYPERLINK("http://ids.si.edu/ids/deliveryService?id=NMAH-AHB2014q102079","NMAH-AHB2014q102079")</f>
        <v>NMAH-AHB2014q102079</v>
      </c>
      <c r="B231" s="3" t="s">
        <v>894</v>
      </c>
      <c r="C231" s="3">
        <v>572041</v>
      </c>
      <c r="D231" s="3" t="s">
        <v>797</v>
      </c>
      <c r="E231" s="4" t="s">
        <v>895</v>
      </c>
      <c r="F231" t="s">
        <v>832</v>
      </c>
      <c r="G231">
        <v>0.98479127883911133</v>
      </c>
      <c r="H231" t="s">
        <v>896</v>
      </c>
      <c r="I231">
        <v>0.96581906080245972</v>
      </c>
      <c r="J231" t="s">
        <v>892</v>
      </c>
      <c r="K231" s="4">
        <v>0.95475459098815918</v>
      </c>
      <c r="L231" t="s">
        <v>86</v>
      </c>
      <c r="M231">
        <v>0.55190282999999996</v>
      </c>
      <c r="N231" t="s">
        <v>897</v>
      </c>
      <c r="O231">
        <v>0.12071456</v>
      </c>
      <c r="P231" t="s">
        <v>464</v>
      </c>
      <c r="Q231" s="4">
        <v>7.0661139999999997E-2</v>
      </c>
      <c r="R231" t="s">
        <v>86</v>
      </c>
      <c r="S231">
        <v>0.37254812999999998</v>
      </c>
      <c r="T231" t="s">
        <v>848</v>
      </c>
      <c r="U231">
        <v>0.16126958999999999</v>
      </c>
      <c r="V231" t="s">
        <v>897</v>
      </c>
      <c r="W231">
        <v>0.11084847</v>
      </c>
    </row>
    <row r="232" spans="1:23" x14ac:dyDescent="0.25">
      <c r="A232" s="3" t="str">
        <f>HYPERLINK("http://ids.si.edu/ids/deliveryService?id=NMAH-AHB2014q101779","NMAH-AHB2014q101779")</f>
        <v>NMAH-AHB2014q101779</v>
      </c>
      <c r="B232" s="3" t="s">
        <v>898</v>
      </c>
      <c r="C232" s="3">
        <v>571698</v>
      </c>
      <c r="D232" s="3" t="s">
        <v>797</v>
      </c>
      <c r="E232" s="4" t="s">
        <v>899</v>
      </c>
      <c r="F232" t="s">
        <v>892</v>
      </c>
      <c r="G232">
        <v>0.98360353708267212</v>
      </c>
      <c r="H232" t="s">
        <v>271</v>
      </c>
      <c r="I232">
        <v>0.96945583820343018</v>
      </c>
      <c r="J232" t="s">
        <v>497</v>
      </c>
      <c r="K232" s="4">
        <v>0.84496945142745972</v>
      </c>
      <c r="L232" t="s">
        <v>678</v>
      </c>
      <c r="M232">
        <v>0.52032655000000005</v>
      </c>
      <c r="N232" t="s">
        <v>261</v>
      </c>
      <c r="O232">
        <v>7.6987150000000004E-2</v>
      </c>
      <c r="P232" t="s">
        <v>336</v>
      </c>
      <c r="Q232" s="4">
        <v>5.5156120000000003E-2</v>
      </c>
      <c r="R232" t="s">
        <v>261</v>
      </c>
      <c r="S232">
        <v>0.43857141999999999</v>
      </c>
      <c r="T232" t="s">
        <v>813</v>
      </c>
      <c r="U232">
        <v>0.13193342</v>
      </c>
      <c r="V232" t="s">
        <v>159</v>
      </c>
      <c r="W232">
        <v>7.8571479999999999E-2</v>
      </c>
    </row>
    <row r="233" spans="1:23" x14ac:dyDescent="0.25">
      <c r="A233" s="3" t="str">
        <f>HYPERLINK("http://ids.si.edu/ids/deliveryService?id=NMAH-AHB2013q097857","NMAH-AHB2013q097857")</f>
        <v>NMAH-AHB2013q097857</v>
      </c>
      <c r="B233" s="3" t="s">
        <v>900</v>
      </c>
      <c r="C233" s="3">
        <v>309555</v>
      </c>
      <c r="D233" s="3" t="s">
        <v>797</v>
      </c>
      <c r="E233" s="4" t="s">
        <v>901</v>
      </c>
      <c r="F233" t="s">
        <v>91</v>
      </c>
      <c r="G233">
        <v>0.9462587833404541</v>
      </c>
      <c r="H233" t="s">
        <v>902</v>
      </c>
      <c r="I233">
        <v>0.7543218731880188</v>
      </c>
      <c r="J233" t="s">
        <v>50</v>
      </c>
      <c r="K233" s="4">
        <v>0.7381446361541748</v>
      </c>
      <c r="L233" t="s">
        <v>764</v>
      </c>
      <c r="M233">
        <v>0.35988265000000003</v>
      </c>
      <c r="N233" t="s">
        <v>141</v>
      </c>
      <c r="O233">
        <v>0.28102361999999997</v>
      </c>
      <c r="P233" t="s">
        <v>498</v>
      </c>
      <c r="Q233" s="4">
        <v>7.9020679999999996E-2</v>
      </c>
      <c r="R233" t="s">
        <v>523</v>
      </c>
      <c r="S233">
        <v>0.14128711999999999</v>
      </c>
      <c r="T233" t="s">
        <v>903</v>
      </c>
      <c r="U233">
        <v>0.13927929999999999</v>
      </c>
      <c r="V233" t="s">
        <v>764</v>
      </c>
      <c r="W233">
        <v>0.10780083</v>
      </c>
    </row>
    <row r="234" spans="1:23" x14ac:dyDescent="0.25">
      <c r="A234" s="3" t="str">
        <f>HYPERLINK("http://ids.si.edu/ids/deliveryService?id=NMAH-AHB2013q090175","NMAH-AHB2013q090175")</f>
        <v>NMAH-AHB2013q090175</v>
      </c>
      <c r="B234" s="3" t="s">
        <v>904</v>
      </c>
      <c r="C234" s="3">
        <v>1449127</v>
      </c>
      <c r="D234" s="3" t="s">
        <v>797</v>
      </c>
      <c r="E234" s="4" t="s">
        <v>850</v>
      </c>
      <c r="F234" t="s">
        <v>851</v>
      </c>
      <c r="G234">
        <v>0.96748065948486328</v>
      </c>
      <c r="H234" t="s">
        <v>816</v>
      </c>
      <c r="I234">
        <v>0.95145916938781738</v>
      </c>
      <c r="J234" t="s">
        <v>809</v>
      </c>
      <c r="K234" s="4">
        <v>0.85894441604614258</v>
      </c>
      <c r="L234" t="s">
        <v>498</v>
      </c>
      <c r="M234">
        <v>0.74133359999999993</v>
      </c>
      <c r="N234" t="s">
        <v>83</v>
      </c>
      <c r="O234">
        <v>9.2336290000000001E-2</v>
      </c>
      <c r="P234" t="s">
        <v>369</v>
      </c>
      <c r="Q234" s="4">
        <v>3.6875546000000002E-2</v>
      </c>
      <c r="R234" t="s">
        <v>83</v>
      </c>
      <c r="S234">
        <v>0.47650062999999998</v>
      </c>
      <c r="T234" t="s">
        <v>175</v>
      </c>
      <c r="U234">
        <v>0.10039814</v>
      </c>
      <c r="V234" t="s">
        <v>157</v>
      </c>
      <c r="W234">
        <v>8.6828779999999994E-2</v>
      </c>
    </row>
    <row r="235" spans="1:23" x14ac:dyDescent="0.25">
      <c r="A235" s="3" t="str">
        <f>HYPERLINK("http://ids.si.edu/ids/deliveryService?id=NMAH-AHB2013q081336","NMAH-AHB2013q081336")</f>
        <v>NMAH-AHB2013q081336</v>
      </c>
      <c r="B235" s="3" t="s">
        <v>905</v>
      </c>
      <c r="C235" s="3">
        <v>302127</v>
      </c>
      <c r="D235" s="3" t="s">
        <v>797</v>
      </c>
      <c r="E235" s="4" t="s">
        <v>850</v>
      </c>
      <c r="F235" t="s">
        <v>851</v>
      </c>
      <c r="G235">
        <v>0.94786226749420166</v>
      </c>
      <c r="H235" t="s">
        <v>816</v>
      </c>
      <c r="I235">
        <v>0.93120676279067993</v>
      </c>
      <c r="J235" t="s">
        <v>809</v>
      </c>
      <c r="K235" s="4">
        <v>0.78268975019454956</v>
      </c>
      <c r="L235" t="s">
        <v>83</v>
      </c>
      <c r="M235">
        <v>0.18181396</v>
      </c>
      <c r="N235" t="s">
        <v>498</v>
      </c>
      <c r="O235">
        <v>0.12639727000000001</v>
      </c>
      <c r="P235" t="s">
        <v>239</v>
      </c>
      <c r="Q235" s="4">
        <v>8.2927755999999991E-2</v>
      </c>
      <c r="R235" t="s">
        <v>83</v>
      </c>
      <c r="S235">
        <v>0.41903317000000001</v>
      </c>
      <c r="T235" t="s">
        <v>157</v>
      </c>
      <c r="U235">
        <v>0.15775758000000001</v>
      </c>
      <c r="V235" t="s">
        <v>175</v>
      </c>
      <c r="W235">
        <v>4.9862816999999997E-2</v>
      </c>
    </row>
    <row r="236" spans="1:23" x14ac:dyDescent="0.25">
      <c r="A236" s="3" t="str">
        <f>HYPERLINK("http://ids.si.edu/ids/deliveryService?id=NMAH-AHB2013q090123","NMAH-AHB2013q090123")</f>
        <v>NMAH-AHB2013q090123</v>
      </c>
      <c r="B236" s="3" t="s">
        <v>906</v>
      </c>
      <c r="C236" s="3">
        <v>319607</v>
      </c>
      <c r="D236" s="3" t="s">
        <v>797</v>
      </c>
      <c r="E236" s="4" t="s">
        <v>834</v>
      </c>
      <c r="F236" t="s">
        <v>907</v>
      </c>
      <c r="G236">
        <v>0.97168326377868652</v>
      </c>
      <c r="H236" t="s">
        <v>816</v>
      </c>
      <c r="I236">
        <v>0.94869989156723022</v>
      </c>
      <c r="J236" t="s">
        <v>809</v>
      </c>
      <c r="K236" s="4">
        <v>0.87591350078582764</v>
      </c>
      <c r="L236" t="s">
        <v>84</v>
      </c>
      <c r="M236">
        <v>0.29902032000000001</v>
      </c>
      <c r="N236" t="s">
        <v>141</v>
      </c>
      <c r="O236">
        <v>0.23799793</v>
      </c>
      <c r="P236" t="s">
        <v>83</v>
      </c>
      <c r="Q236" s="4">
        <v>0.121721946</v>
      </c>
      <c r="R236" t="s">
        <v>83</v>
      </c>
      <c r="S236">
        <v>0.27190214000000001</v>
      </c>
      <c r="T236" t="s">
        <v>84</v>
      </c>
      <c r="U236">
        <v>0.21703227999999999</v>
      </c>
      <c r="V236" t="s">
        <v>141</v>
      </c>
      <c r="W236">
        <v>0.12872232</v>
      </c>
    </row>
    <row r="237" spans="1:23" x14ac:dyDescent="0.25">
      <c r="A237" s="3" t="str">
        <f>HYPERLINK("http://ids.si.edu/ids/deliveryService?id=NMAH-AHB2013q091890","NMAH-AHB2013q091890")</f>
        <v>NMAH-AHB2013q091890</v>
      </c>
      <c r="B237" s="3" t="s">
        <v>908</v>
      </c>
      <c r="C237" s="3">
        <v>323850</v>
      </c>
      <c r="D237" s="3" t="s">
        <v>797</v>
      </c>
      <c r="E237" s="4" t="s">
        <v>909</v>
      </c>
      <c r="F237" t="s">
        <v>323</v>
      </c>
      <c r="G237">
        <v>0.95944905281066895</v>
      </c>
      <c r="H237" t="s">
        <v>324</v>
      </c>
      <c r="I237">
        <v>0.84548085927963257</v>
      </c>
      <c r="J237" t="s">
        <v>910</v>
      </c>
      <c r="K237" s="4">
        <v>0.83391714096069336</v>
      </c>
      <c r="L237" t="s">
        <v>83</v>
      </c>
      <c r="M237">
        <v>0.37922465999999999</v>
      </c>
      <c r="N237" t="s">
        <v>53</v>
      </c>
      <c r="O237">
        <v>0.31184325000000002</v>
      </c>
      <c r="P237" t="s">
        <v>52</v>
      </c>
      <c r="Q237" s="4">
        <v>9.4904310000000006E-2</v>
      </c>
      <c r="R237" t="s">
        <v>53</v>
      </c>
      <c r="S237">
        <v>0.37801940000000012</v>
      </c>
      <c r="T237" t="s">
        <v>83</v>
      </c>
      <c r="U237">
        <v>0.17425304999999999</v>
      </c>
      <c r="V237" t="s">
        <v>389</v>
      </c>
      <c r="W237">
        <v>0.14045142999999999</v>
      </c>
    </row>
    <row r="238" spans="1:23" x14ac:dyDescent="0.25">
      <c r="A238" s="3" t="str">
        <f>HYPERLINK("http://ids.si.edu/ids/deliveryService?id=NMAH-AHB2017q036867","NMAH-AHB2017q036867")</f>
        <v>NMAH-AHB2017q036867</v>
      </c>
      <c r="B238" s="3" t="s">
        <v>911</v>
      </c>
      <c r="C238" s="3">
        <v>596267</v>
      </c>
      <c r="D238" s="3" t="s">
        <v>797</v>
      </c>
      <c r="E238" s="4" t="s">
        <v>912</v>
      </c>
      <c r="F238" t="s">
        <v>505</v>
      </c>
      <c r="G238">
        <v>0.98369061946868896</v>
      </c>
      <c r="H238" t="s">
        <v>819</v>
      </c>
      <c r="I238">
        <v>0.98191052675247192</v>
      </c>
      <c r="J238" t="s">
        <v>506</v>
      </c>
      <c r="K238" s="4">
        <v>0.93520271778106689</v>
      </c>
      <c r="L238" t="s">
        <v>411</v>
      </c>
      <c r="M238">
        <v>0.87326789999999999</v>
      </c>
      <c r="N238" t="s">
        <v>166</v>
      </c>
      <c r="O238">
        <v>3.4156279999999997E-2</v>
      </c>
      <c r="P238" t="s">
        <v>913</v>
      </c>
      <c r="Q238" s="4">
        <v>7.9373719999999998E-3</v>
      </c>
      <c r="R238" t="s">
        <v>312</v>
      </c>
      <c r="S238">
        <v>0.24128358</v>
      </c>
      <c r="T238" t="s">
        <v>314</v>
      </c>
      <c r="U238">
        <v>7.1141264999999995E-2</v>
      </c>
      <c r="V238" t="s">
        <v>78</v>
      </c>
      <c r="W238">
        <v>5.7895385000000001E-2</v>
      </c>
    </row>
    <row r="239" spans="1:23" x14ac:dyDescent="0.25">
      <c r="A239" s="3" t="str">
        <f>HYPERLINK("http://ids.si.edu/ids/deliveryService?id=NMAH-AHB2014q066540","NMAH-AHB2014q066540")</f>
        <v>NMAH-AHB2014q066540</v>
      </c>
      <c r="B239" s="3" t="s">
        <v>914</v>
      </c>
      <c r="C239" s="3">
        <v>1460984</v>
      </c>
      <c r="D239" s="3" t="s">
        <v>797</v>
      </c>
      <c r="E239" s="4" t="s">
        <v>740</v>
      </c>
      <c r="F239" t="s">
        <v>38</v>
      </c>
      <c r="G239">
        <v>0.70963758230209351</v>
      </c>
      <c r="L239" t="s">
        <v>151</v>
      </c>
      <c r="M239">
        <v>0.24904183999999999</v>
      </c>
      <c r="N239" t="s">
        <v>149</v>
      </c>
      <c r="O239">
        <v>0.14908568999999999</v>
      </c>
      <c r="P239" t="s">
        <v>185</v>
      </c>
      <c r="Q239" s="4">
        <v>5.2133500000000013E-2</v>
      </c>
      <c r="R239" t="s">
        <v>151</v>
      </c>
      <c r="S239">
        <v>0.29021205999999999</v>
      </c>
      <c r="T239" t="s">
        <v>253</v>
      </c>
      <c r="U239">
        <v>0.15559493999999999</v>
      </c>
      <c r="V239" t="s">
        <v>336</v>
      </c>
      <c r="W239">
        <v>5.5687882000000001E-2</v>
      </c>
    </row>
    <row r="240" spans="1:23" x14ac:dyDescent="0.25">
      <c r="A240" s="3" t="str">
        <f>HYPERLINK("http://ids.si.edu/ids/deliveryService?id=NMAH-AHB2014q059573","NMAH-AHB2014q059573")</f>
        <v>NMAH-AHB2014q059573</v>
      </c>
      <c r="B240" s="3" t="s">
        <v>915</v>
      </c>
      <c r="C240" s="3">
        <v>300949</v>
      </c>
      <c r="D240" s="3" t="s">
        <v>797</v>
      </c>
      <c r="E240" s="4" t="s">
        <v>916</v>
      </c>
      <c r="F240" t="s">
        <v>856</v>
      </c>
      <c r="G240">
        <v>0.93832159042358398</v>
      </c>
      <c r="H240" t="s">
        <v>917</v>
      </c>
      <c r="I240">
        <v>0.91529691219329834</v>
      </c>
      <c r="J240" t="s">
        <v>799</v>
      </c>
      <c r="K240" s="4">
        <v>0.89423650503158569</v>
      </c>
      <c r="L240" t="s">
        <v>166</v>
      </c>
      <c r="M240">
        <v>0.35404409999999997</v>
      </c>
      <c r="N240" t="s">
        <v>638</v>
      </c>
      <c r="O240">
        <v>0.21025346</v>
      </c>
      <c r="P240" t="s">
        <v>918</v>
      </c>
      <c r="Q240" s="4">
        <v>0.13258370999999999</v>
      </c>
      <c r="R240" t="s">
        <v>918</v>
      </c>
      <c r="S240">
        <v>0.51330805000000002</v>
      </c>
      <c r="T240" t="s">
        <v>857</v>
      </c>
      <c r="U240">
        <v>0.13190510999999999</v>
      </c>
      <c r="V240" t="s">
        <v>853</v>
      </c>
      <c r="W240">
        <v>0.10783796</v>
      </c>
    </row>
    <row r="241" spans="1:23" x14ac:dyDescent="0.25">
      <c r="A241" s="3" t="str">
        <f>HYPERLINK("http://ids.si.edu/ids/deliveryService?id=NMAH-AHB2016q056813","NMAH-AHB2016q056813")</f>
        <v>NMAH-AHB2016q056813</v>
      </c>
      <c r="B241" s="3" t="s">
        <v>919</v>
      </c>
      <c r="C241" s="3">
        <v>1329696</v>
      </c>
      <c r="D241" s="3" t="s">
        <v>797</v>
      </c>
      <c r="E241" s="4" t="s">
        <v>920</v>
      </c>
      <c r="F241" t="s">
        <v>921</v>
      </c>
      <c r="G241">
        <v>0.93573778867721558</v>
      </c>
      <c r="H241" t="s">
        <v>846</v>
      </c>
      <c r="I241">
        <v>0.90152865648269653</v>
      </c>
      <c r="J241" t="s">
        <v>922</v>
      </c>
      <c r="K241" s="4">
        <v>0.87781155109405518</v>
      </c>
      <c r="L241" t="s">
        <v>464</v>
      </c>
      <c r="M241">
        <v>0.26848608000000002</v>
      </c>
      <c r="N241" t="s">
        <v>923</v>
      </c>
      <c r="O241">
        <v>0.25389974999999998</v>
      </c>
      <c r="P241" t="s">
        <v>918</v>
      </c>
      <c r="Q241" s="4">
        <v>8.797365E-2</v>
      </c>
      <c r="R241" t="s">
        <v>923</v>
      </c>
      <c r="S241">
        <v>0.42536548000000002</v>
      </c>
      <c r="T241" t="s">
        <v>853</v>
      </c>
      <c r="U241">
        <v>0.16105485</v>
      </c>
      <c r="V241" t="s">
        <v>113</v>
      </c>
      <c r="W241">
        <v>5.0064525999999998E-2</v>
      </c>
    </row>
    <row r="242" spans="1:23" x14ac:dyDescent="0.25">
      <c r="A242" s="3" t="str">
        <f>HYPERLINK("http://ids.si.edu/ids/deliveryService?id=NMAH-AHB2013q094397","NMAH-AHB2013q094397")</f>
        <v>NMAH-AHB2013q094397</v>
      </c>
      <c r="B242" s="3" t="s">
        <v>924</v>
      </c>
      <c r="C242" s="3">
        <v>315164</v>
      </c>
      <c r="D242" s="3" t="s">
        <v>797</v>
      </c>
      <c r="E242" s="4" t="s">
        <v>925</v>
      </c>
      <c r="F242" t="s">
        <v>91</v>
      </c>
      <c r="G242">
        <v>0.88283330202102661</v>
      </c>
      <c r="L242" t="s">
        <v>83</v>
      </c>
      <c r="M242">
        <v>0.50018423999999995</v>
      </c>
      <c r="N242" t="s">
        <v>84</v>
      </c>
      <c r="O242">
        <v>0.11746587</v>
      </c>
      <c r="P242" t="s">
        <v>926</v>
      </c>
      <c r="Q242" s="4">
        <v>7.3143369999999999E-2</v>
      </c>
      <c r="R242" t="s">
        <v>82</v>
      </c>
      <c r="S242">
        <v>0.36236602000000001</v>
      </c>
      <c r="T242" t="s">
        <v>84</v>
      </c>
      <c r="U242">
        <v>8.2196309999999995E-2</v>
      </c>
      <c r="V242" t="s">
        <v>260</v>
      </c>
      <c r="W242">
        <v>4.5116299999999998E-2</v>
      </c>
    </row>
    <row r="243" spans="1:23" x14ac:dyDescent="0.25">
      <c r="A243" s="3" t="str">
        <f>HYPERLINK("http://ids.si.edu/ids/deliveryService?id=NMAH-AHB2015q039957","NMAH-AHB2015q039957")</f>
        <v>NMAH-AHB2015q039957</v>
      </c>
      <c r="B243" s="3" t="s">
        <v>927</v>
      </c>
      <c r="C243" s="3">
        <v>572400</v>
      </c>
      <c r="D243" s="3" t="s">
        <v>797</v>
      </c>
      <c r="E243" s="4" t="s">
        <v>30</v>
      </c>
      <c r="F243" t="s">
        <v>928</v>
      </c>
      <c r="G243">
        <v>0.91306197643280029</v>
      </c>
      <c r="H243" t="s">
        <v>929</v>
      </c>
      <c r="I243">
        <v>0.90380609035491943</v>
      </c>
      <c r="J243" t="s">
        <v>832</v>
      </c>
      <c r="K243" s="4">
        <v>0.8882635235786438</v>
      </c>
      <c r="L243" t="s">
        <v>30</v>
      </c>
      <c r="M243">
        <v>0.43005759999999998</v>
      </c>
      <c r="N243" t="s">
        <v>86</v>
      </c>
      <c r="O243">
        <v>0.18448241000000001</v>
      </c>
      <c r="P243" t="s">
        <v>821</v>
      </c>
      <c r="Q243" s="4">
        <v>0.16424549999999999</v>
      </c>
      <c r="R243" t="s">
        <v>86</v>
      </c>
      <c r="S243">
        <v>0.17129812999999999</v>
      </c>
      <c r="T243" t="s">
        <v>30</v>
      </c>
      <c r="U243">
        <v>0.10714371</v>
      </c>
      <c r="V243" t="s">
        <v>847</v>
      </c>
      <c r="W243">
        <v>8.3751984000000002E-2</v>
      </c>
    </row>
    <row r="244" spans="1:23" x14ac:dyDescent="0.25">
      <c r="A244" s="3" t="str">
        <f>HYPERLINK("http://ids.si.edu/ids/deliveryService?id=NMAH-AHB2013q093699","NMAH-AHB2013q093699")</f>
        <v>NMAH-AHB2013q093699</v>
      </c>
      <c r="B244" s="3" t="s">
        <v>930</v>
      </c>
      <c r="C244" s="3">
        <v>309147</v>
      </c>
      <c r="D244" s="3" t="s">
        <v>797</v>
      </c>
      <c r="E244" s="4" t="s">
        <v>931</v>
      </c>
      <c r="F244" t="s">
        <v>91</v>
      </c>
      <c r="G244">
        <v>0.88283330202102661</v>
      </c>
      <c r="H244" t="s">
        <v>112</v>
      </c>
      <c r="I244">
        <v>0.68572378158569336</v>
      </c>
      <c r="J244" t="s">
        <v>932</v>
      </c>
      <c r="K244" s="4">
        <v>0.53287488222122192</v>
      </c>
      <c r="L244" t="s">
        <v>903</v>
      </c>
      <c r="M244">
        <v>0.16723676000000001</v>
      </c>
      <c r="N244" t="s">
        <v>933</v>
      </c>
      <c r="O244">
        <v>0.118707776</v>
      </c>
      <c r="P244" t="s">
        <v>53</v>
      </c>
      <c r="Q244" s="4">
        <v>6.937230400000001E-2</v>
      </c>
      <c r="R244" t="s">
        <v>175</v>
      </c>
      <c r="S244">
        <v>0.25492179999999998</v>
      </c>
      <c r="T244" t="s">
        <v>141</v>
      </c>
      <c r="U244">
        <v>0.1971424</v>
      </c>
      <c r="V244" t="s">
        <v>185</v>
      </c>
      <c r="W244">
        <v>0.10054588</v>
      </c>
    </row>
    <row r="245" spans="1:23" x14ac:dyDescent="0.25">
      <c r="A245" s="3" t="str">
        <f>HYPERLINK("http://ids.si.edu/ids/deliveryService?id=NMAH-AHB2014q060520","NMAH-AHB2014q060520")</f>
        <v>NMAH-AHB2014q060520</v>
      </c>
      <c r="B245" s="3" t="s">
        <v>934</v>
      </c>
      <c r="C245" s="3">
        <v>303963</v>
      </c>
      <c r="D245" s="3" t="s">
        <v>797</v>
      </c>
      <c r="E245" s="4" t="s">
        <v>935</v>
      </c>
      <c r="F245" t="s">
        <v>91</v>
      </c>
      <c r="G245">
        <v>0.91031128168106079</v>
      </c>
      <c r="H245" t="s">
        <v>936</v>
      </c>
      <c r="I245">
        <v>0.86638438701629639</v>
      </c>
      <c r="J245" t="s">
        <v>667</v>
      </c>
      <c r="K245" s="4">
        <v>0.82078075408935547</v>
      </c>
      <c r="L245" t="s">
        <v>749</v>
      </c>
      <c r="M245">
        <v>0.14063169</v>
      </c>
      <c r="N245" t="s">
        <v>828</v>
      </c>
      <c r="O245">
        <v>0.10167929000000001</v>
      </c>
      <c r="P245" t="s">
        <v>498</v>
      </c>
      <c r="Q245" s="4">
        <v>9.3893950000000004E-2</v>
      </c>
      <c r="R245" t="s">
        <v>498</v>
      </c>
      <c r="S245">
        <v>0.22328413</v>
      </c>
      <c r="T245" t="s">
        <v>443</v>
      </c>
      <c r="U245">
        <v>5.3338073E-2</v>
      </c>
      <c r="V245" t="s">
        <v>828</v>
      </c>
      <c r="W245">
        <v>4.9267265999999997E-2</v>
      </c>
    </row>
    <row r="246" spans="1:23" x14ac:dyDescent="0.25">
      <c r="A246" s="3" t="str">
        <f>HYPERLINK("http://ids.si.edu/ids/deliveryService?id=NMAH-ET2015-11476","NMAH-ET2015-11476")</f>
        <v>NMAH-ET2015-11476</v>
      </c>
      <c r="B246" s="3" t="s">
        <v>937</v>
      </c>
      <c r="C246" s="3">
        <v>1801154</v>
      </c>
      <c r="D246" s="3" t="s">
        <v>797</v>
      </c>
      <c r="E246" s="4" t="s">
        <v>938</v>
      </c>
      <c r="F246" t="s">
        <v>697</v>
      </c>
      <c r="G246">
        <v>0.99105864763259888</v>
      </c>
      <c r="H246" t="s">
        <v>939</v>
      </c>
      <c r="I246">
        <v>0.9687577486038208</v>
      </c>
      <c r="J246" t="s">
        <v>699</v>
      </c>
      <c r="K246" s="4">
        <v>0.90941774845123291</v>
      </c>
      <c r="L246" t="s">
        <v>940</v>
      </c>
      <c r="M246">
        <v>0.29076213000000001</v>
      </c>
      <c r="N246" t="s">
        <v>847</v>
      </c>
      <c r="O246">
        <v>0.10075685</v>
      </c>
      <c r="P246" t="s">
        <v>41</v>
      </c>
      <c r="Q246" s="4">
        <v>8.0659910000000001E-2</v>
      </c>
      <c r="R246" t="s">
        <v>202</v>
      </c>
      <c r="S246">
        <v>0.102118336</v>
      </c>
      <c r="T246" t="s">
        <v>941</v>
      </c>
      <c r="U246">
        <v>7.4692419999999995E-2</v>
      </c>
      <c r="V246" t="s">
        <v>209</v>
      </c>
      <c r="W246">
        <v>4.1248325000000002E-2</v>
      </c>
    </row>
    <row r="247" spans="1:23" x14ac:dyDescent="0.25">
      <c r="A247" s="3" t="str">
        <f>HYPERLINK("http://ids.si.edu/ids/deliveryService?id=NMAH-AHB2014q060766","NMAH-AHB2014q060766")</f>
        <v>NMAH-AHB2014q060766</v>
      </c>
      <c r="B247" s="3" t="s">
        <v>942</v>
      </c>
      <c r="C247" s="3">
        <v>301078</v>
      </c>
      <c r="D247" s="3" t="s">
        <v>797</v>
      </c>
      <c r="E247" s="4" t="s">
        <v>86</v>
      </c>
      <c r="F247" t="s">
        <v>917</v>
      </c>
      <c r="G247">
        <v>0.93954622745513916</v>
      </c>
      <c r="H247" t="s">
        <v>809</v>
      </c>
      <c r="I247">
        <v>0.9181550145149231</v>
      </c>
      <c r="J247" t="s">
        <v>799</v>
      </c>
      <c r="K247" s="4">
        <v>0.89994394779205322</v>
      </c>
      <c r="L247" t="s">
        <v>857</v>
      </c>
      <c r="M247">
        <v>0.66762155000000001</v>
      </c>
      <c r="N247" t="s">
        <v>853</v>
      </c>
      <c r="O247">
        <v>0.14249038999999999</v>
      </c>
      <c r="P247" t="s">
        <v>30</v>
      </c>
      <c r="Q247" s="4">
        <v>7.7063039999999999E-2</v>
      </c>
      <c r="R247" t="s">
        <v>857</v>
      </c>
      <c r="S247">
        <v>0.58168419999999998</v>
      </c>
      <c r="T247" t="s">
        <v>853</v>
      </c>
      <c r="U247">
        <v>0.17685229</v>
      </c>
      <c r="V247" t="s">
        <v>30</v>
      </c>
      <c r="W247">
        <v>0.16481662999999999</v>
      </c>
    </row>
    <row r="248" spans="1:23" x14ac:dyDescent="0.25">
      <c r="A248" s="3" t="str">
        <f>HYPERLINK("http://ids.si.edu/ids/deliveryService?id=NMAH-AHB2013q090162","NMAH-AHB2013q090162")</f>
        <v>NMAH-AHB2013q090162</v>
      </c>
      <c r="B248" s="3" t="s">
        <v>943</v>
      </c>
      <c r="C248" s="3">
        <v>1449149</v>
      </c>
      <c r="D248" s="3" t="s">
        <v>797</v>
      </c>
      <c r="E248" s="4" t="s">
        <v>850</v>
      </c>
      <c r="F248" t="s">
        <v>851</v>
      </c>
      <c r="G248">
        <v>0.96934854984283447</v>
      </c>
      <c r="H248" t="s">
        <v>816</v>
      </c>
      <c r="I248">
        <v>0.94735413789749146</v>
      </c>
      <c r="J248" t="s">
        <v>809</v>
      </c>
      <c r="K248" s="4">
        <v>0.83604735136032104</v>
      </c>
      <c r="L248" t="s">
        <v>498</v>
      </c>
      <c r="M248">
        <v>0.48536849999999998</v>
      </c>
      <c r="N248" t="s">
        <v>369</v>
      </c>
      <c r="O248">
        <v>6.6314330000000005E-2</v>
      </c>
      <c r="P248" t="s">
        <v>83</v>
      </c>
      <c r="Q248" s="4">
        <v>5.8071974999999998E-2</v>
      </c>
      <c r="R248" t="s">
        <v>83</v>
      </c>
      <c r="S248">
        <v>0.37386584</v>
      </c>
      <c r="T248" t="s">
        <v>175</v>
      </c>
      <c r="U248">
        <v>0.14509802999999999</v>
      </c>
      <c r="V248" t="s">
        <v>141</v>
      </c>
      <c r="W248">
        <v>6.5732904000000009E-2</v>
      </c>
    </row>
    <row r="249" spans="1:23" x14ac:dyDescent="0.25">
      <c r="A249" s="3" t="str">
        <f>HYPERLINK("http://ids.si.edu/ids/deliveryService?id=NMAH-AHB2013q098533","NMAH-AHB2013q098533")</f>
        <v>NMAH-AHB2013q098533</v>
      </c>
      <c r="B249" s="3" t="s">
        <v>944</v>
      </c>
      <c r="C249" s="3">
        <v>310303</v>
      </c>
      <c r="D249" s="3" t="s">
        <v>797</v>
      </c>
      <c r="E249" s="4" t="s">
        <v>945</v>
      </c>
      <c r="F249" t="s">
        <v>946</v>
      </c>
      <c r="G249">
        <v>0.9628833532333374</v>
      </c>
      <c r="H249" t="s">
        <v>188</v>
      </c>
      <c r="I249">
        <v>0.90759855508804321</v>
      </c>
      <c r="J249" t="s">
        <v>947</v>
      </c>
      <c r="K249" s="4">
        <v>0.86442887783050537</v>
      </c>
      <c r="L249" t="s">
        <v>948</v>
      </c>
      <c r="M249">
        <v>0.22434750000000001</v>
      </c>
      <c r="N249" t="s">
        <v>239</v>
      </c>
      <c r="O249">
        <v>0.21244867000000001</v>
      </c>
      <c r="P249" t="s">
        <v>888</v>
      </c>
      <c r="Q249" s="4">
        <v>0.13401257</v>
      </c>
      <c r="R249" t="s">
        <v>888</v>
      </c>
      <c r="S249">
        <v>0.40131887999999999</v>
      </c>
      <c r="T249" t="s">
        <v>159</v>
      </c>
      <c r="U249">
        <v>0.20376135000000001</v>
      </c>
      <c r="V249" t="s">
        <v>156</v>
      </c>
      <c r="W249">
        <v>0.1309951</v>
      </c>
    </row>
    <row r="250" spans="1:23" x14ac:dyDescent="0.25">
      <c r="A250" s="3" t="str">
        <f>HYPERLINK("http://ids.si.edu/ids/deliveryService?id=NMAH-AHB2014q061160","NMAH-AHB2014q061160")</f>
        <v>NMAH-AHB2014q061160</v>
      </c>
      <c r="B250" s="3" t="s">
        <v>949</v>
      </c>
      <c r="C250" s="3">
        <v>322820</v>
      </c>
      <c r="D250" s="3" t="s">
        <v>797</v>
      </c>
      <c r="E250" s="4" t="s">
        <v>950</v>
      </c>
      <c r="F250" t="s">
        <v>665</v>
      </c>
      <c r="G250">
        <v>0.86583113670349121</v>
      </c>
      <c r="H250" t="s">
        <v>574</v>
      </c>
      <c r="I250">
        <v>0.71771836280822754</v>
      </c>
      <c r="J250" t="s">
        <v>196</v>
      </c>
      <c r="K250" s="4">
        <v>0.67594033479690552</v>
      </c>
      <c r="L250" t="s">
        <v>464</v>
      </c>
      <c r="M250">
        <v>0.33120409999999989</v>
      </c>
      <c r="N250" t="s">
        <v>498</v>
      </c>
      <c r="O250">
        <v>6.6809510000000003E-2</v>
      </c>
      <c r="P250" t="s">
        <v>416</v>
      </c>
      <c r="Q250" s="4">
        <v>5.1435349999999998E-2</v>
      </c>
      <c r="R250" t="s">
        <v>416</v>
      </c>
      <c r="S250">
        <v>0.29717474999999999</v>
      </c>
      <c r="T250" t="s">
        <v>464</v>
      </c>
      <c r="U250">
        <v>0.20689851000000001</v>
      </c>
      <c r="V250" t="s">
        <v>30</v>
      </c>
      <c r="W250">
        <v>8.5479680000000002E-2</v>
      </c>
    </row>
    <row r="251" spans="1:23" x14ac:dyDescent="0.25">
      <c r="A251" s="3" t="str">
        <f>HYPERLINK("http://ids.si.edu/ids/deliveryService?id=NMAH-AHB2016q056093","NMAH-AHB2016q056093")</f>
        <v>NMAH-AHB2016q056093</v>
      </c>
      <c r="B251" s="3" t="s">
        <v>951</v>
      </c>
      <c r="C251" s="3">
        <v>574118</v>
      </c>
      <c r="D251" s="3" t="s">
        <v>797</v>
      </c>
      <c r="E251" s="4" t="s">
        <v>952</v>
      </c>
      <c r="F251" t="s">
        <v>837</v>
      </c>
      <c r="G251">
        <v>0.95168173313140869</v>
      </c>
      <c r="H251" t="s">
        <v>953</v>
      </c>
      <c r="I251">
        <v>0.94584614038467407</v>
      </c>
      <c r="J251" t="s">
        <v>921</v>
      </c>
      <c r="K251" s="4">
        <v>0.93913084268569946</v>
      </c>
      <c r="L251" t="s">
        <v>464</v>
      </c>
      <c r="M251">
        <v>0.27222383</v>
      </c>
      <c r="N251" t="s">
        <v>923</v>
      </c>
      <c r="O251">
        <v>0.26511052000000002</v>
      </c>
      <c r="P251" t="s">
        <v>821</v>
      </c>
      <c r="Q251" s="4">
        <v>0.26089087</v>
      </c>
      <c r="R251" t="s">
        <v>923</v>
      </c>
      <c r="S251">
        <v>0.81818480000000005</v>
      </c>
      <c r="T251" t="s">
        <v>30</v>
      </c>
      <c r="U251">
        <v>8.5994920000000002E-2</v>
      </c>
      <c r="V251" t="s">
        <v>821</v>
      </c>
      <c r="W251">
        <v>6.0895268000000002E-2</v>
      </c>
    </row>
    <row r="252" spans="1:23" x14ac:dyDescent="0.25">
      <c r="A252" s="3" t="str">
        <f>HYPERLINK("http://ids.si.edu/ids/deliveryService?id=NMAH-AHB2017q001154","NMAH-AHB2017q001154")</f>
        <v>NMAH-AHB2017q001154</v>
      </c>
      <c r="B252" s="3" t="s">
        <v>954</v>
      </c>
      <c r="C252" s="3">
        <v>1442767</v>
      </c>
      <c r="D252" s="3" t="s">
        <v>797</v>
      </c>
      <c r="E252" s="4" t="s">
        <v>955</v>
      </c>
      <c r="F252" t="s">
        <v>870</v>
      </c>
      <c r="G252">
        <v>0.94779348373413086</v>
      </c>
      <c r="H252" t="s">
        <v>956</v>
      </c>
      <c r="I252">
        <v>0.91516226530075073</v>
      </c>
      <c r="J252" t="s">
        <v>957</v>
      </c>
      <c r="K252" s="4">
        <v>0.91217553615570068</v>
      </c>
      <c r="L252" t="s">
        <v>888</v>
      </c>
      <c r="M252">
        <v>0.99160149999999991</v>
      </c>
      <c r="N252" t="s">
        <v>958</v>
      </c>
      <c r="O252">
        <v>5.4360930000000003E-3</v>
      </c>
      <c r="P252" t="s">
        <v>156</v>
      </c>
      <c r="Q252" s="4">
        <v>1.0966773E-3</v>
      </c>
      <c r="R252" t="s">
        <v>888</v>
      </c>
      <c r="S252">
        <v>0.85972947</v>
      </c>
      <c r="T252" t="s">
        <v>958</v>
      </c>
      <c r="U252">
        <v>8.8893109999999997E-2</v>
      </c>
      <c r="V252" t="s">
        <v>156</v>
      </c>
      <c r="W252">
        <v>9.7072410000000001E-3</v>
      </c>
    </row>
    <row r="253" spans="1:23" x14ac:dyDescent="0.25">
      <c r="A253" s="3" t="str">
        <f>HYPERLINK("http://ids.si.edu/ids/deliveryService?id=NMAH-AHB2018q001178","NMAH-AHB2018q001178")</f>
        <v>NMAH-AHB2018q001178</v>
      </c>
      <c r="B253" s="3" t="s">
        <v>959</v>
      </c>
      <c r="C253" s="3">
        <v>624733</v>
      </c>
      <c r="D253" s="3" t="s">
        <v>797</v>
      </c>
      <c r="E253" s="4" t="s">
        <v>960</v>
      </c>
      <c r="F253" t="s">
        <v>870</v>
      </c>
      <c r="G253">
        <v>0.82582652568817139</v>
      </c>
      <c r="H253" t="s">
        <v>39</v>
      </c>
      <c r="I253">
        <v>0.74660760164260864</v>
      </c>
      <c r="J253" t="s">
        <v>617</v>
      </c>
      <c r="K253" s="4">
        <v>0.68481487035751343</v>
      </c>
      <c r="L253" t="s">
        <v>43</v>
      </c>
      <c r="M253">
        <v>0.22300711000000001</v>
      </c>
      <c r="N253" t="s">
        <v>961</v>
      </c>
      <c r="O253">
        <v>0.17883921999999999</v>
      </c>
      <c r="P253" t="s">
        <v>197</v>
      </c>
      <c r="Q253" s="4">
        <v>0.12340358999999999</v>
      </c>
      <c r="R253" t="s">
        <v>197</v>
      </c>
      <c r="S253">
        <v>0.69011709999999993</v>
      </c>
      <c r="T253" t="s">
        <v>962</v>
      </c>
      <c r="U253">
        <v>7.5920454999999998E-2</v>
      </c>
      <c r="V253" t="s">
        <v>963</v>
      </c>
      <c r="W253">
        <v>6.9352449999999996E-2</v>
      </c>
    </row>
    <row r="254" spans="1:23" x14ac:dyDescent="0.25">
      <c r="A254" s="3" t="str">
        <f>HYPERLINK("http://ids.si.edu/ids/deliveryService?id=NMAH-AHB2013q094399","NMAH-AHB2013q094399")</f>
        <v>NMAH-AHB2013q094399</v>
      </c>
      <c r="B254" s="3" t="s">
        <v>964</v>
      </c>
      <c r="C254" s="3">
        <v>315162</v>
      </c>
      <c r="D254" s="3" t="s">
        <v>797</v>
      </c>
      <c r="E254" s="4" t="s">
        <v>965</v>
      </c>
      <c r="F254" t="s">
        <v>558</v>
      </c>
      <c r="G254">
        <v>0.5250248908996582</v>
      </c>
      <c r="L254" t="s">
        <v>245</v>
      </c>
      <c r="M254">
        <v>0.40148899999999998</v>
      </c>
      <c r="N254" t="s">
        <v>141</v>
      </c>
      <c r="O254">
        <v>0.26750006999999998</v>
      </c>
      <c r="P254" t="s">
        <v>53</v>
      </c>
      <c r="Q254" s="4">
        <v>8.0248650000000005E-2</v>
      </c>
      <c r="R254" t="s">
        <v>53</v>
      </c>
      <c r="S254">
        <v>0.25324955999999998</v>
      </c>
      <c r="T254" t="s">
        <v>87</v>
      </c>
      <c r="U254">
        <v>0.17167552</v>
      </c>
      <c r="V254" t="s">
        <v>83</v>
      </c>
      <c r="W254">
        <v>0.12113039</v>
      </c>
    </row>
    <row r="255" spans="1:23" x14ac:dyDescent="0.25">
      <c r="A255" s="3" t="str">
        <f>HYPERLINK("http://ids.si.edu/ids/deliveryService?id=NMAH-AHB2014q059331","NMAH-AHB2014q059331")</f>
        <v>NMAH-AHB2014q059331</v>
      </c>
      <c r="B255" s="3" t="s">
        <v>966</v>
      </c>
      <c r="C255" s="3">
        <v>1456475</v>
      </c>
      <c r="D255" s="3" t="s">
        <v>797</v>
      </c>
      <c r="E255" s="4" t="s">
        <v>967</v>
      </c>
      <c r="F255" t="s">
        <v>968</v>
      </c>
      <c r="G255">
        <v>0.97733807563781738</v>
      </c>
      <c r="H255" t="s">
        <v>595</v>
      </c>
      <c r="I255">
        <v>0.89790552854537964</v>
      </c>
      <c r="J255" t="s">
        <v>50</v>
      </c>
      <c r="K255" s="4">
        <v>0.7871207594871521</v>
      </c>
      <c r="L255" t="s">
        <v>820</v>
      </c>
      <c r="M255">
        <v>0.99866973999999997</v>
      </c>
      <c r="N255" t="s">
        <v>969</v>
      </c>
      <c r="O255">
        <v>5.0984125E-4</v>
      </c>
      <c r="P255" t="s">
        <v>970</v>
      </c>
      <c r="Q255" s="4">
        <v>1.4896519000000001E-4</v>
      </c>
      <c r="R255" t="s">
        <v>820</v>
      </c>
      <c r="S255">
        <v>0.99662066000000005</v>
      </c>
      <c r="T255" t="s">
        <v>969</v>
      </c>
      <c r="U255">
        <v>8.0695130000000008E-4</v>
      </c>
      <c r="V255" t="s">
        <v>970</v>
      </c>
      <c r="W255">
        <v>7.220611E-4</v>
      </c>
    </row>
    <row r="256" spans="1:23" x14ac:dyDescent="0.25">
      <c r="A256" s="3" t="str">
        <f>HYPERLINK("http://ids.si.edu/ids/deliveryService?id=NMAH-AHB2014q054925","NMAH-AHB2014q054925")</f>
        <v>NMAH-AHB2014q054925</v>
      </c>
      <c r="B256" s="3" t="s">
        <v>971</v>
      </c>
      <c r="C256" s="3">
        <v>314156</v>
      </c>
      <c r="D256" s="3" t="s">
        <v>797</v>
      </c>
      <c r="E256" s="4" t="s">
        <v>972</v>
      </c>
      <c r="L256" t="s">
        <v>53</v>
      </c>
      <c r="M256">
        <v>0.32855654000000001</v>
      </c>
      <c r="N256" t="s">
        <v>389</v>
      </c>
      <c r="O256">
        <v>0.12060401599999999</v>
      </c>
      <c r="P256" t="s">
        <v>83</v>
      </c>
      <c r="Q256" s="4">
        <v>9.7674720000000007E-2</v>
      </c>
      <c r="R256" t="s">
        <v>369</v>
      </c>
      <c r="S256">
        <v>0.16484636</v>
      </c>
      <c r="T256" t="s">
        <v>84</v>
      </c>
      <c r="U256">
        <v>0.11306215999999999</v>
      </c>
      <c r="V256" t="s">
        <v>389</v>
      </c>
      <c r="W256">
        <v>7.3696999999999999E-2</v>
      </c>
    </row>
    <row r="257" spans="1:23" x14ac:dyDescent="0.25">
      <c r="A257" s="3" t="str">
        <f>HYPERLINK("http://ids.si.edu/ids/deliveryService?id=NMAH-AHB2014q102085","NMAH-AHB2014q102085")</f>
        <v>NMAH-AHB2014q102085</v>
      </c>
      <c r="B257" s="3" t="s">
        <v>973</v>
      </c>
      <c r="C257" s="3">
        <v>572000</v>
      </c>
      <c r="D257" s="3" t="s">
        <v>797</v>
      </c>
      <c r="E257" s="4" t="s">
        <v>899</v>
      </c>
      <c r="F257" t="s">
        <v>799</v>
      </c>
      <c r="G257">
        <v>0.93574529886245728</v>
      </c>
      <c r="H257" t="s">
        <v>497</v>
      </c>
      <c r="I257">
        <v>0.89938724040985107</v>
      </c>
      <c r="J257" t="s">
        <v>974</v>
      </c>
      <c r="K257" s="4">
        <v>0.75261390209197998</v>
      </c>
      <c r="L257" t="s">
        <v>97</v>
      </c>
      <c r="M257">
        <v>0.105728604</v>
      </c>
      <c r="N257" t="s">
        <v>975</v>
      </c>
      <c r="O257">
        <v>9.4011410000000004E-2</v>
      </c>
      <c r="P257" t="s">
        <v>239</v>
      </c>
      <c r="Q257" s="4">
        <v>6.0560744000000007E-2</v>
      </c>
      <c r="R257" t="s">
        <v>98</v>
      </c>
      <c r="S257">
        <v>7.1663745000000001E-2</v>
      </c>
      <c r="T257" t="s">
        <v>976</v>
      </c>
      <c r="U257">
        <v>6.3528290000000001E-2</v>
      </c>
      <c r="V257" t="s">
        <v>498</v>
      </c>
      <c r="W257">
        <v>5.5933215000000001E-2</v>
      </c>
    </row>
    <row r="258" spans="1:23" x14ac:dyDescent="0.25">
      <c r="A258" s="3" t="str">
        <f>HYPERLINK("http://ids.si.edu/ids/deliveryService?id=NMAH-AHB2017q001187","NMAH-AHB2017q001187")</f>
        <v>NMAH-AHB2017q001187</v>
      </c>
      <c r="B258" s="3" t="s">
        <v>977</v>
      </c>
      <c r="C258" s="3">
        <v>620738</v>
      </c>
      <c r="D258" s="3" t="s">
        <v>797</v>
      </c>
      <c r="E258" s="4" t="s">
        <v>960</v>
      </c>
      <c r="F258" t="s">
        <v>870</v>
      </c>
      <c r="G258">
        <v>0.82582652568817139</v>
      </c>
      <c r="H258" t="s">
        <v>978</v>
      </c>
      <c r="I258">
        <v>0.69036459922790527</v>
      </c>
      <c r="J258" t="s">
        <v>39</v>
      </c>
      <c r="K258" s="4">
        <v>0.65633249282836914</v>
      </c>
      <c r="L258" t="s">
        <v>226</v>
      </c>
      <c r="M258">
        <v>0.63419689999999995</v>
      </c>
      <c r="N258" t="s">
        <v>42</v>
      </c>
      <c r="O258">
        <v>0.13952944</v>
      </c>
      <c r="P258" t="s">
        <v>66</v>
      </c>
      <c r="Q258" s="4">
        <v>6.8288199999999993E-2</v>
      </c>
      <c r="R258" t="s">
        <v>226</v>
      </c>
      <c r="S258">
        <v>0.63029236</v>
      </c>
      <c r="T258" t="s">
        <v>43</v>
      </c>
      <c r="U258">
        <v>0.116376854</v>
      </c>
      <c r="V258" t="s">
        <v>79</v>
      </c>
      <c r="W258">
        <v>4.9632580000000003E-2</v>
      </c>
    </row>
    <row r="259" spans="1:23" x14ac:dyDescent="0.25">
      <c r="A259" s="3" t="str">
        <f>HYPERLINK("http://ids.si.edu/ids/deliveryService?id=NMAH-AHB2014q102076","NMAH-AHB2014q102076")</f>
        <v>NMAH-AHB2014q102076</v>
      </c>
      <c r="B259" s="3" t="s">
        <v>979</v>
      </c>
      <c r="C259" s="3">
        <v>571991</v>
      </c>
      <c r="D259" s="3" t="s">
        <v>797</v>
      </c>
      <c r="E259" s="4" t="s">
        <v>899</v>
      </c>
      <c r="F259" t="s">
        <v>832</v>
      </c>
      <c r="G259">
        <v>0.98291748762130737</v>
      </c>
      <c r="H259" t="s">
        <v>896</v>
      </c>
      <c r="I259">
        <v>0.98174500465393066</v>
      </c>
      <c r="J259" t="s">
        <v>799</v>
      </c>
      <c r="K259" s="4">
        <v>0.96830439567565918</v>
      </c>
      <c r="L259" t="s">
        <v>464</v>
      </c>
      <c r="M259">
        <v>0.50888630000000001</v>
      </c>
      <c r="N259" t="s">
        <v>678</v>
      </c>
      <c r="O259">
        <v>0.12528992</v>
      </c>
      <c r="P259" t="s">
        <v>30</v>
      </c>
      <c r="Q259" s="4">
        <v>5.3960577000000003E-2</v>
      </c>
      <c r="R259" t="s">
        <v>628</v>
      </c>
      <c r="S259">
        <v>0.23907418999999999</v>
      </c>
      <c r="T259" t="s">
        <v>97</v>
      </c>
      <c r="U259">
        <v>0.1926802</v>
      </c>
      <c r="V259" t="s">
        <v>926</v>
      </c>
      <c r="W259">
        <v>5.8218985999999993E-2</v>
      </c>
    </row>
    <row r="260" spans="1:23" x14ac:dyDescent="0.25">
      <c r="A260" s="3" t="str">
        <f>HYPERLINK("http://ids.si.edu/ids/deliveryService?id=NMAH-AHB2017q098131","NMAH-AHB2017q098131")</f>
        <v>NMAH-AHB2017q098131</v>
      </c>
      <c r="B260" s="3" t="s">
        <v>980</v>
      </c>
      <c r="C260" s="3">
        <v>1413541</v>
      </c>
      <c r="D260" s="3" t="s">
        <v>797</v>
      </c>
      <c r="E260" s="4" t="s">
        <v>981</v>
      </c>
      <c r="F260" t="s">
        <v>574</v>
      </c>
      <c r="G260">
        <v>0.98694497346878052</v>
      </c>
      <c r="H260" t="s">
        <v>929</v>
      </c>
      <c r="I260">
        <v>0.95864987373352051</v>
      </c>
      <c r="J260" t="s">
        <v>982</v>
      </c>
      <c r="K260" s="4">
        <v>0.94579803943634033</v>
      </c>
      <c r="L260" t="s">
        <v>416</v>
      </c>
      <c r="M260">
        <v>0.88729899999999995</v>
      </c>
      <c r="N260" t="s">
        <v>983</v>
      </c>
      <c r="O260">
        <v>2.2501456E-2</v>
      </c>
      <c r="P260" t="s">
        <v>940</v>
      </c>
      <c r="Q260" s="4">
        <v>1.3945885E-2</v>
      </c>
      <c r="R260" t="s">
        <v>416</v>
      </c>
      <c r="S260">
        <v>0.89839360000000001</v>
      </c>
      <c r="T260" t="s">
        <v>940</v>
      </c>
      <c r="U260">
        <v>2.1518439E-2</v>
      </c>
      <c r="V260" t="s">
        <v>984</v>
      </c>
      <c r="W260">
        <v>1.1286017000000001E-2</v>
      </c>
    </row>
    <row r="261" spans="1:23" x14ac:dyDescent="0.25">
      <c r="A261" s="3" t="str">
        <f>HYPERLINK("http://ids.si.edu/ids/deliveryService?id=NMAH-AHB2014q101943","NMAH-AHB2014q101943")</f>
        <v>NMAH-AHB2014q101943</v>
      </c>
      <c r="B261" s="3" t="s">
        <v>985</v>
      </c>
      <c r="C261" s="3">
        <v>571817</v>
      </c>
      <c r="D261" s="3" t="s">
        <v>797</v>
      </c>
      <c r="E261" s="4" t="s">
        <v>899</v>
      </c>
      <c r="F261" t="s">
        <v>832</v>
      </c>
      <c r="G261">
        <v>0.98366564512252808</v>
      </c>
      <c r="H261" t="s">
        <v>799</v>
      </c>
      <c r="I261">
        <v>0.96830439567565918</v>
      </c>
      <c r="J261" t="s">
        <v>896</v>
      </c>
      <c r="K261" s="4">
        <v>0.96721851825714111</v>
      </c>
      <c r="L261" t="s">
        <v>678</v>
      </c>
      <c r="M261">
        <v>0.64856369999999997</v>
      </c>
      <c r="N261" t="s">
        <v>897</v>
      </c>
      <c r="O261">
        <v>8.7685120000000005E-2</v>
      </c>
      <c r="P261" t="s">
        <v>86</v>
      </c>
      <c r="Q261" s="4">
        <v>5.7070307000000001E-2</v>
      </c>
      <c r="R261" t="s">
        <v>159</v>
      </c>
      <c r="S261">
        <v>0.28809652000000002</v>
      </c>
      <c r="T261" t="s">
        <v>678</v>
      </c>
      <c r="U261">
        <v>0.100028984</v>
      </c>
      <c r="V261" t="s">
        <v>336</v>
      </c>
      <c r="W261">
        <v>8.5971720000000001E-2</v>
      </c>
    </row>
    <row r="262" spans="1:23" x14ac:dyDescent="0.25">
      <c r="A262" s="3" t="str">
        <f>HYPERLINK("http://ids.si.edu/ids/deliveryService?id=NMAH-2011-04519","NMAH-2011-04519")</f>
        <v>NMAH-2011-04519</v>
      </c>
      <c r="B262" s="3" t="s">
        <v>986</v>
      </c>
      <c r="C262" s="3">
        <v>326147</v>
      </c>
      <c r="D262" s="3" t="s">
        <v>797</v>
      </c>
      <c r="E262" s="4" t="s">
        <v>987</v>
      </c>
      <c r="F262" t="s">
        <v>988</v>
      </c>
      <c r="G262">
        <v>0.58548235893249512</v>
      </c>
      <c r="H262" t="s">
        <v>447</v>
      </c>
      <c r="I262">
        <v>0.5773124098777771</v>
      </c>
      <c r="L262" t="s">
        <v>65</v>
      </c>
      <c r="M262">
        <v>0.57676949999999994</v>
      </c>
      <c r="N262" t="s">
        <v>129</v>
      </c>
      <c r="O262">
        <v>0.16759515999999999</v>
      </c>
      <c r="P262" t="s">
        <v>29</v>
      </c>
      <c r="Q262" s="4">
        <v>4.3039574999999997E-2</v>
      </c>
      <c r="R262" t="s">
        <v>65</v>
      </c>
      <c r="S262">
        <v>0.52496919999999991</v>
      </c>
      <c r="T262" t="s">
        <v>129</v>
      </c>
      <c r="U262">
        <v>8.2618910000000004E-2</v>
      </c>
      <c r="V262" t="s">
        <v>29</v>
      </c>
      <c r="W262">
        <v>7.5434570000000006E-2</v>
      </c>
    </row>
    <row r="263" spans="1:23" x14ac:dyDescent="0.25">
      <c r="A263" s="3" t="str">
        <f>HYPERLINK("http://ids.si.edu/ids/deliveryService?id=NMAH-AHB2014q055284","NMAH-AHB2014q055284")</f>
        <v>NMAH-AHB2014q055284</v>
      </c>
      <c r="B263" s="3" t="s">
        <v>989</v>
      </c>
      <c r="C263" s="3">
        <v>1097252</v>
      </c>
      <c r="D263" s="3" t="s">
        <v>797</v>
      </c>
      <c r="E263" s="4" t="s">
        <v>990</v>
      </c>
      <c r="F263" t="s">
        <v>595</v>
      </c>
      <c r="G263">
        <v>0.87728333473205566</v>
      </c>
      <c r="H263" t="s">
        <v>991</v>
      </c>
      <c r="I263">
        <v>0.84735310077667236</v>
      </c>
      <c r="J263" t="s">
        <v>968</v>
      </c>
      <c r="K263" s="4">
        <v>0.83214086294174194</v>
      </c>
      <c r="L263" t="s">
        <v>820</v>
      </c>
      <c r="M263">
        <v>0.99334830000000007</v>
      </c>
      <c r="N263" t="s">
        <v>765</v>
      </c>
      <c r="O263">
        <v>2.2622326000000001E-3</v>
      </c>
      <c r="P263" t="s">
        <v>175</v>
      </c>
      <c r="Q263" s="4">
        <v>4.316233E-4</v>
      </c>
      <c r="R263" t="s">
        <v>765</v>
      </c>
      <c r="S263">
        <v>0.25280434000000002</v>
      </c>
      <c r="T263" t="s">
        <v>156</v>
      </c>
      <c r="U263">
        <v>0.12260593</v>
      </c>
      <c r="V263" t="s">
        <v>175</v>
      </c>
      <c r="W263">
        <v>7.7183254000000007E-2</v>
      </c>
    </row>
    <row r="264" spans="1:23" x14ac:dyDescent="0.25">
      <c r="A264" s="3" t="str">
        <f>HYPERLINK("http://ids.si.edu/ids/deliveryService?id=NMAH-AHB2013q089347","NMAH-AHB2013q089347")</f>
        <v>NMAH-AHB2013q089347</v>
      </c>
      <c r="B264" s="3" t="s">
        <v>992</v>
      </c>
      <c r="C264" s="3">
        <v>1448871</v>
      </c>
      <c r="D264" s="3" t="s">
        <v>797</v>
      </c>
      <c r="E264" s="4" t="s">
        <v>993</v>
      </c>
      <c r="F264" t="s">
        <v>882</v>
      </c>
      <c r="G264">
        <v>0.93088382482528687</v>
      </c>
      <c r="H264" t="s">
        <v>91</v>
      </c>
      <c r="I264">
        <v>0.88283330202102661</v>
      </c>
      <c r="J264" t="s">
        <v>323</v>
      </c>
      <c r="K264" s="4">
        <v>0.83439302444458008</v>
      </c>
      <c r="L264" t="s">
        <v>83</v>
      </c>
      <c r="M264">
        <v>0.83916170000000001</v>
      </c>
      <c r="N264" t="s">
        <v>84</v>
      </c>
      <c r="O264">
        <v>3.4122903000000003E-2</v>
      </c>
      <c r="P264" t="s">
        <v>185</v>
      </c>
      <c r="Q264" s="4">
        <v>2.2069697999999999E-2</v>
      </c>
      <c r="R264" t="s">
        <v>83</v>
      </c>
      <c r="S264">
        <v>0.64012209999999992</v>
      </c>
      <c r="T264" t="s">
        <v>389</v>
      </c>
      <c r="U264">
        <v>6.4337220000000001E-2</v>
      </c>
      <c r="V264" t="s">
        <v>84</v>
      </c>
      <c r="W264">
        <v>4.1289657E-2</v>
      </c>
    </row>
    <row r="265" spans="1:23" x14ac:dyDescent="0.25">
      <c r="A265" s="3" t="str">
        <f>HYPERLINK("http://ids.si.edu/ids/deliveryService?id=NMAH-AHB2013q094896","NMAH-AHB2013q094896")</f>
        <v>NMAH-AHB2013q094896</v>
      </c>
      <c r="B265" s="3" t="s">
        <v>994</v>
      </c>
      <c r="C265" s="3">
        <v>312665</v>
      </c>
      <c r="D265" s="3" t="s">
        <v>797</v>
      </c>
      <c r="E265" s="4" t="s">
        <v>925</v>
      </c>
      <c r="L265" t="s">
        <v>53</v>
      </c>
      <c r="M265">
        <v>0.73341219999999996</v>
      </c>
      <c r="N265" t="s">
        <v>389</v>
      </c>
      <c r="O265">
        <v>6.7309745000000004E-2</v>
      </c>
      <c r="P265" t="s">
        <v>151</v>
      </c>
      <c r="Q265" s="4">
        <v>4.0602434E-2</v>
      </c>
      <c r="R265" t="s">
        <v>151</v>
      </c>
      <c r="S265">
        <v>0.1513061</v>
      </c>
      <c r="T265" t="s">
        <v>185</v>
      </c>
      <c r="U265">
        <v>0.14096139999999999</v>
      </c>
      <c r="V265" t="s">
        <v>83</v>
      </c>
      <c r="W265">
        <v>9.1666295999999994E-2</v>
      </c>
    </row>
    <row r="266" spans="1:23" x14ac:dyDescent="0.25">
      <c r="A266" s="3" t="str">
        <f>HYPERLINK("http://ids.si.edu/ids/deliveryService?id=NMAH-AHB2017q098201","NMAH-AHB2017q098201")</f>
        <v>NMAH-AHB2017q098201</v>
      </c>
      <c r="B266" s="3" t="s">
        <v>995</v>
      </c>
      <c r="C266" s="3">
        <v>1836856</v>
      </c>
      <c r="D266" s="3" t="s">
        <v>797</v>
      </c>
      <c r="E266" s="4" t="s">
        <v>146</v>
      </c>
      <c r="F266" t="s">
        <v>147</v>
      </c>
      <c r="G266">
        <v>0.96663671731948853</v>
      </c>
      <c r="H266" t="s">
        <v>91</v>
      </c>
      <c r="I266">
        <v>0.88283330202102661</v>
      </c>
      <c r="J266" t="s">
        <v>996</v>
      </c>
      <c r="K266" s="4">
        <v>0.84155833721160889</v>
      </c>
      <c r="L266" t="s">
        <v>152</v>
      </c>
      <c r="M266">
        <v>0.79673930000000004</v>
      </c>
      <c r="N266" t="s">
        <v>184</v>
      </c>
      <c r="O266">
        <v>0.19545671000000001</v>
      </c>
      <c r="P266" t="s">
        <v>673</v>
      </c>
      <c r="Q266" s="4">
        <v>2.8347530000000002E-3</v>
      </c>
      <c r="R266" t="s">
        <v>152</v>
      </c>
      <c r="S266">
        <v>0.56145659999999997</v>
      </c>
      <c r="T266" t="s">
        <v>184</v>
      </c>
      <c r="U266">
        <v>0.3568614</v>
      </c>
      <c r="V266" t="s">
        <v>151</v>
      </c>
      <c r="W266">
        <v>2.4465273999999999E-2</v>
      </c>
    </row>
    <row r="267" spans="1:23" x14ac:dyDescent="0.25">
      <c r="A267" s="3" t="str">
        <f>HYPERLINK("http://ids.si.edu/ids/deliveryService?id=NMAH-AHB2014q054816","NMAH-AHB2014q054816")</f>
        <v>NMAH-AHB2014q054816</v>
      </c>
      <c r="B267" s="3" t="s">
        <v>997</v>
      </c>
      <c r="C267" s="3">
        <v>309567</v>
      </c>
      <c r="D267" s="3" t="s">
        <v>797</v>
      </c>
      <c r="E267" s="4" t="s">
        <v>998</v>
      </c>
      <c r="F267" t="s">
        <v>147</v>
      </c>
      <c r="G267">
        <v>0.75014382600784302</v>
      </c>
      <c r="H267" t="s">
        <v>38</v>
      </c>
      <c r="I267">
        <v>0.57686591148376465</v>
      </c>
      <c r="J267" t="s">
        <v>178</v>
      </c>
      <c r="K267" s="4">
        <v>0.56749182939529419</v>
      </c>
      <c r="L267" t="s">
        <v>184</v>
      </c>
      <c r="M267">
        <v>0.15863806999999999</v>
      </c>
      <c r="N267" t="s">
        <v>209</v>
      </c>
      <c r="O267">
        <v>0.10079083</v>
      </c>
      <c r="P267" t="s">
        <v>93</v>
      </c>
      <c r="Q267" s="4">
        <v>7.6732549999999997E-2</v>
      </c>
      <c r="R267" t="s">
        <v>185</v>
      </c>
      <c r="S267">
        <v>0.12057586000000001</v>
      </c>
      <c r="T267" t="s">
        <v>151</v>
      </c>
      <c r="U267">
        <v>0.101466954</v>
      </c>
      <c r="V267" t="s">
        <v>148</v>
      </c>
      <c r="W267">
        <v>7.6030609999999998E-2</v>
      </c>
    </row>
    <row r="268" spans="1:23" x14ac:dyDescent="0.25">
      <c r="A268" s="3" t="str">
        <f>HYPERLINK("http://ids.si.edu/ids/deliveryService?id=NMAH-AHB2014q059542","NMAH-AHB2014q059542")</f>
        <v>NMAH-AHB2014q059542</v>
      </c>
      <c r="B268" s="3" t="s">
        <v>999</v>
      </c>
      <c r="C268" s="3">
        <v>300942</v>
      </c>
      <c r="D268" s="3" t="s">
        <v>797</v>
      </c>
      <c r="E268" s="4" t="s">
        <v>1000</v>
      </c>
      <c r="F268" t="s">
        <v>974</v>
      </c>
      <c r="G268">
        <v>0.94895017147064209</v>
      </c>
      <c r="H268" t="s">
        <v>809</v>
      </c>
      <c r="I268">
        <v>0.76189678907394409</v>
      </c>
      <c r="J268" t="s">
        <v>832</v>
      </c>
      <c r="K268" s="4">
        <v>0.71924382448196411</v>
      </c>
      <c r="L268" t="s">
        <v>86</v>
      </c>
      <c r="M268">
        <v>0.20424271999999999</v>
      </c>
      <c r="N268" t="s">
        <v>464</v>
      </c>
      <c r="O268">
        <v>0.1504421</v>
      </c>
      <c r="P268" t="s">
        <v>821</v>
      </c>
      <c r="Q268" s="4">
        <v>0.11321017</v>
      </c>
      <c r="R268" t="s">
        <v>213</v>
      </c>
      <c r="S268">
        <v>0.59068745</v>
      </c>
      <c r="T268" t="s">
        <v>464</v>
      </c>
      <c r="U268">
        <v>0.13934462</v>
      </c>
      <c r="V268" t="s">
        <v>364</v>
      </c>
      <c r="W268">
        <v>0.13308623</v>
      </c>
    </row>
    <row r="269" spans="1:23" x14ac:dyDescent="0.25">
      <c r="A269" s="3" t="str">
        <f>HYPERLINK("http://ids.si.edu/ids/deliveryService?id=NMAH-AHB2014q054810","NMAH-AHB2014q054810")</f>
        <v>NMAH-AHB2014q054810</v>
      </c>
      <c r="B269" s="3" t="s">
        <v>1001</v>
      </c>
      <c r="C269" s="3">
        <v>310918</v>
      </c>
      <c r="D269" s="3" t="s">
        <v>797</v>
      </c>
      <c r="E269" s="4" t="s">
        <v>1002</v>
      </c>
      <c r="F269" t="s">
        <v>112</v>
      </c>
      <c r="G269">
        <v>0.68572378158569336</v>
      </c>
      <c r="H269" t="s">
        <v>1003</v>
      </c>
      <c r="I269">
        <v>0.54703354835510254</v>
      </c>
      <c r="L269" t="s">
        <v>689</v>
      </c>
      <c r="M269">
        <v>0.49497960000000002</v>
      </c>
      <c r="N269" t="s">
        <v>365</v>
      </c>
      <c r="O269">
        <v>0.47080314000000001</v>
      </c>
      <c r="P269" t="s">
        <v>443</v>
      </c>
      <c r="Q269" s="4">
        <v>1.7627131000000001E-2</v>
      </c>
      <c r="R269" t="s">
        <v>303</v>
      </c>
      <c r="S269">
        <v>0.1881391</v>
      </c>
      <c r="T269" t="s">
        <v>813</v>
      </c>
      <c r="U269">
        <v>0.15975375</v>
      </c>
      <c r="V269" t="s">
        <v>689</v>
      </c>
      <c r="W269">
        <v>6.2513860000000004E-2</v>
      </c>
    </row>
    <row r="270" spans="1:23" x14ac:dyDescent="0.25">
      <c r="A270" s="3" t="str">
        <f>HYPERLINK("http://ids.si.edu/ids/deliveryService?id=NMAH-JN2015-7435-000002","NMAH-JN2015-7435-000002")</f>
        <v>NMAH-JN2015-7435-000002</v>
      </c>
      <c r="B270" s="3" t="s">
        <v>1004</v>
      </c>
      <c r="C270" s="3">
        <v>1415564</v>
      </c>
      <c r="D270" s="3" t="s">
        <v>797</v>
      </c>
      <c r="E270" s="4" t="s">
        <v>1005</v>
      </c>
      <c r="F270" t="s">
        <v>1006</v>
      </c>
      <c r="G270">
        <v>0.95771926641464233</v>
      </c>
      <c r="H270" t="s">
        <v>809</v>
      </c>
      <c r="I270">
        <v>0.93273013830184937</v>
      </c>
      <c r="J270" t="s">
        <v>1007</v>
      </c>
      <c r="K270" s="4">
        <v>0.93075412511825562</v>
      </c>
      <c r="L270" t="s">
        <v>86</v>
      </c>
      <c r="M270">
        <v>0.9189255999999999</v>
      </c>
      <c r="N270" t="s">
        <v>847</v>
      </c>
      <c r="O270">
        <v>5.0074621999999999E-2</v>
      </c>
      <c r="P270" t="s">
        <v>1008</v>
      </c>
      <c r="Q270" s="4">
        <v>1.5846099999999998E-2</v>
      </c>
      <c r="R270" t="s">
        <v>86</v>
      </c>
      <c r="S270">
        <v>0.89204850000000002</v>
      </c>
      <c r="T270" t="s">
        <v>678</v>
      </c>
      <c r="U270">
        <v>2.0356642000000001E-2</v>
      </c>
      <c r="V270" t="s">
        <v>1008</v>
      </c>
      <c r="W270">
        <v>1.6150136999999998E-2</v>
      </c>
    </row>
    <row r="271" spans="1:23" x14ac:dyDescent="0.25">
      <c r="A271" s="3" t="str">
        <f>HYPERLINK("http://ids.si.edu/ids/deliveryService?id=NMAH-AHB2013q083173","NMAH-AHB2013q083173")</f>
        <v>NMAH-AHB2013q083173</v>
      </c>
      <c r="B271" s="3" t="s">
        <v>1009</v>
      </c>
      <c r="C271" s="3">
        <v>302661</v>
      </c>
      <c r="D271" s="3" t="s">
        <v>797</v>
      </c>
      <c r="E271" s="4" t="s">
        <v>834</v>
      </c>
      <c r="F271" t="s">
        <v>907</v>
      </c>
      <c r="G271">
        <v>0.93120396137237549</v>
      </c>
      <c r="H271" t="s">
        <v>816</v>
      </c>
      <c r="I271">
        <v>0.8932684063911438</v>
      </c>
      <c r="J271" t="s">
        <v>809</v>
      </c>
      <c r="K271" s="4">
        <v>0.75697654485702515</v>
      </c>
      <c r="L271" t="s">
        <v>83</v>
      </c>
      <c r="M271">
        <v>0.91712990000000005</v>
      </c>
      <c r="N271" t="s">
        <v>495</v>
      </c>
      <c r="O271">
        <v>3.4196187000000003E-2</v>
      </c>
      <c r="P271" t="s">
        <v>559</v>
      </c>
      <c r="Q271" s="4">
        <v>9.1860480000000005E-3</v>
      </c>
      <c r="R271" t="s">
        <v>83</v>
      </c>
      <c r="S271">
        <v>0.66545683</v>
      </c>
      <c r="T271" t="s">
        <v>159</v>
      </c>
      <c r="U271">
        <v>0.15908046000000001</v>
      </c>
      <c r="V271" t="s">
        <v>495</v>
      </c>
      <c r="W271">
        <v>6.9778889999999996E-2</v>
      </c>
    </row>
    <row r="272" spans="1:23" x14ac:dyDescent="0.25">
      <c r="A272" s="3" t="str">
        <f>HYPERLINK("http://ids.si.edu/ids/deliveryService?id=NMAH-AHB2017q030938","NMAH-AHB2017q030938")</f>
        <v>NMAH-AHB2017q030938</v>
      </c>
      <c r="B272" s="3" t="s">
        <v>1010</v>
      </c>
      <c r="C272" s="3">
        <v>579446</v>
      </c>
      <c r="D272" s="3" t="s">
        <v>797</v>
      </c>
      <c r="E272" s="4" t="s">
        <v>1005</v>
      </c>
      <c r="F272" t="s">
        <v>603</v>
      </c>
      <c r="G272">
        <v>0.95444875955581665</v>
      </c>
      <c r="H272" t="s">
        <v>845</v>
      </c>
      <c r="I272">
        <v>0.94340384006500244</v>
      </c>
      <c r="J272" t="s">
        <v>1007</v>
      </c>
      <c r="K272" s="4">
        <v>0.94288766384124756</v>
      </c>
      <c r="L272" t="s">
        <v>86</v>
      </c>
      <c r="M272">
        <v>0.65484922999999995</v>
      </c>
      <c r="N272" t="s">
        <v>853</v>
      </c>
      <c r="O272">
        <v>9.0988330000000006E-2</v>
      </c>
      <c r="P272" t="s">
        <v>364</v>
      </c>
      <c r="Q272" s="4">
        <v>7.3847099999999999E-2</v>
      </c>
      <c r="R272" t="s">
        <v>86</v>
      </c>
      <c r="S272">
        <v>0.28743568000000003</v>
      </c>
      <c r="T272" t="s">
        <v>678</v>
      </c>
      <c r="U272">
        <v>9.7742099999999998E-2</v>
      </c>
      <c r="V272" t="s">
        <v>848</v>
      </c>
      <c r="W272">
        <v>5.5379560000000001E-2</v>
      </c>
    </row>
    <row r="273" spans="1:23" x14ac:dyDescent="0.25">
      <c r="A273" s="3" t="str">
        <f>HYPERLINK("http://ids.si.edu/ids/deliveryService?id=NMAH-AHB2014q059880-000001","NMAH-AHB2014q059880-000001")</f>
        <v>NMAH-AHB2014q059880-000001</v>
      </c>
      <c r="B273" s="3" t="s">
        <v>1011</v>
      </c>
      <c r="C273" s="3">
        <v>300778</v>
      </c>
      <c r="D273" s="3" t="s">
        <v>797</v>
      </c>
      <c r="E273" s="4" t="s">
        <v>836</v>
      </c>
      <c r="F273" t="s">
        <v>917</v>
      </c>
      <c r="G273">
        <v>0.89790475368499756</v>
      </c>
      <c r="H273" t="s">
        <v>809</v>
      </c>
      <c r="I273">
        <v>0.86939144134521484</v>
      </c>
      <c r="J273" t="s">
        <v>50</v>
      </c>
      <c r="K273" s="4">
        <v>0.7537727952003479</v>
      </c>
      <c r="L273" t="s">
        <v>853</v>
      </c>
      <c r="M273">
        <v>0.46179323999999999</v>
      </c>
      <c r="N273" t="s">
        <v>857</v>
      </c>
      <c r="O273">
        <v>8.9864775999999993E-2</v>
      </c>
      <c r="P273" t="s">
        <v>30</v>
      </c>
      <c r="Q273" s="4">
        <v>8.6092489999999994E-2</v>
      </c>
      <c r="R273" t="s">
        <v>853</v>
      </c>
      <c r="S273">
        <v>0.64123476000000001</v>
      </c>
      <c r="T273" t="s">
        <v>857</v>
      </c>
      <c r="U273">
        <v>6.2768560000000001E-2</v>
      </c>
      <c r="V273" t="s">
        <v>30</v>
      </c>
      <c r="W273">
        <v>4.1359312999999988E-2</v>
      </c>
    </row>
    <row r="274" spans="1:23" x14ac:dyDescent="0.25">
      <c r="A274" s="3" t="str">
        <f>HYPERLINK("http://ids.si.edu/ids/deliveryService?id=NMAH-AHB2014q060829","NMAH-AHB2014q060829")</f>
        <v>NMAH-AHB2014q060829</v>
      </c>
      <c r="B274" s="3" t="s">
        <v>1012</v>
      </c>
      <c r="C274" s="3">
        <v>1098846</v>
      </c>
      <c r="D274" s="3" t="s">
        <v>797</v>
      </c>
      <c r="E274" s="4" t="s">
        <v>86</v>
      </c>
      <c r="F274" t="s">
        <v>845</v>
      </c>
      <c r="G274">
        <v>0.93773353099822998</v>
      </c>
      <c r="H274" t="s">
        <v>846</v>
      </c>
      <c r="I274">
        <v>0.91920995712280273</v>
      </c>
      <c r="J274" t="s">
        <v>809</v>
      </c>
      <c r="K274" s="4">
        <v>0.88827449083328247</v>
      </c>
      <c r="L274" t="s">
        <v>1013</v>
      </c>
      <c r="M274">
        <v>0.32154590000000011</v>
      </c>
      <c r="N274" t="s">
        <v>98</v>
      </c>
      <c r="O274">
        <v>0.13030902</v>
      </c>
      <c r="P274" t="s">
        <v>86</v>
      </c>
      <c r="Q274" s="4">
        <v>0.10650493</v>
      </c>
      <c r="R274" t="s">
        <v>30</v>
      </c>
      <c r="S274">
        <v>0.14167220999999999</v>
      </c>
      <c r="T274" t="s">
        <v>86</v>
      </c>
      <c r="U274">
        <v>0.10991109</v>
      </c>
      <c r="V274" t="s">
        <v>213</v>
      </c>
      <c r="W274">
        <v>0.10812094</v>
      </c>
    </row>
    <row r="275" spans="1:23" x14ac:dyDescent="0.25">
      <c r="A275" s="3" t="str">
        <f>HYPERLINK("http://ids.si.edu/ids/deliveryService?id=NMAH-AHB2013q092041","NMAH-AHB2013q092041")</f>
        <v>NMAH-AHB2013q092041</v>
      </c>
      <c r="B275" s="3" t="s">
        <v>1014</v>
      </c>
      <c r="C275" s="3">
        <v>323916</v>
      </c>
      <c r="D275" s="3" t="s">
        <v>797</v>
      </c>
      <c r="E275" s="4" t="s">
        <v>881</v>
      </c>
      <c r="F275" t="s">
        <v>323</v>
      </c>
      <c r="G275">
        <v>0.86320763826370239</v>
      </c>
      <c r="H275" t="s">
        <v>1015</v>
      </c>
      <c r="I275">
        <v>0.73754096031188965</v>
      </c>
      <c r="J275" t="s">
        <v>1016</v>
      </c>
      <c r="K275" s="4">
        <v>0.6991998553276062</v>
      </c>
      <c r="L275" t="s">
        <v>52</v>
      </c>
      <c r="M275">
        <v>0.48897085000000001</v>
      </c>
      <c r="N275" t="s">
        <v>83</v>
      </c>
      <c r="O275">
        <v>0.35093217999999998</v>
      </c>
      <c r="P275" t="s">
        <v>87</v>
      </c>
      <c r="Q275" s="4">
        <v>8.9991230000000005E-2</v>
      </c>
      <c r="R275" t="s">
        <v>83</v>
      </c>
      <c r="S275">
        <v>0.43283277999999997</v>
      </c>
      <c r="T275" t="s">
        <v>52</v>
      </c>
      <c r="U275">
        <v>9.7721050000000004E-2</v>
      </c>
      <c r="V275" t="s">
        <v>389</v>
      </c>
      <c r="W275">
        <v>9.0034199999999995E-2</v>
      </c>
    </row>
    <row r="276" spans="1:23" x14ac:dyDescent="0.25">
      <c r="A276" s="3" t="str">
        <f>HYPERLINK("http://ids.si.edu/ids/deliveryService?id=NMAH-AHB2017q031072","NMAH-AHB2017q031072")</f>
        <v>NMAH-AHB2017q031072</v>
      </c>
      <c r="B276" s="3" t="s">
        <v>1017</v>
      </c>
      <c r="C276" s="3">
        <v>570183</v>
      </c>
      <c r="D276" s="3" t="s">
        <v>797</v>
      </c>
      <c r="E276" s="4" t="s">
        <v>1018</v>
      </c>
      <c r="F276" t="s">
        <v>845</v>
      </c>
      <c r="G276">
        <v>0.9815208911895752</v>
      </c>
      <c r="H276" t="s">
        <v>832</v>
      </c>
      <c r="I276">
        <v>0.96946823596954346</v>
      </c>
      <c r="J276" t="s">
        <v>1019</v>
      </c>
      <c r="K276" s="4">
        <v>0.96944767236709595</v>
      </c>
      <c r="L276" t="s">
        <v>86</v>
      </c>
      <c r="M276">
        <v>0.96743050000000008</v>
      </c>
      <c r="N276" t="s">
        <v>847</v>
      </c>
      <c r="O276">
        <v>1.8103874999999998E-2</v>
      </c>
      <c r="P276" t="s">
        <v>857</v>
      </c>
      <c r="Q276" s="4">
        <v>4.9233096999999997E-3</v>
      </c>
      <c r="R276" t="s">
        <v>86</v>
      </c>
      <c r="S276">
        <v>0.62766409999999995</v>
      </c>
      <c r="T276" t="s">
        <v>678</v>
      </c>
      <c r="U276">
        <v>7.0100865999999998E-2</v>
      </c>
      <c r="V276" t="s">
        <v>857</v>
      </c>
      <c r="W276">
        <v>3.7676405000000003E-2</v>
      </c>
    </row>
    <row r="277" spans="1:23" x14ac:dyDescent="0.25">
      <c r="A277" s="3" t="str">
        <f>HYPERLINK("http://ids.si.edu/ids/deliveryService?id=NMAH-JN2015-7714-000001","NMAH-JN2015-7714-000001")</f>
        <v>NMAH-JN2015-7714-000001</v>
      </c>
      <c r="B277" s="3" t="s">
        <v>1020</v>
      </c>
      <c r="C277" s="3">
        <v>659983</v>
      </c>
      <c r="D277" s="3" t="s">
        <v>797</v>
      </c>
      <c r="E277" s="4" t="s">
        <v>1021</v>
      </c>
      <c r="F277" t="s">
        <v>301</v>
      </c>
      <c r="G277">
        <v>0.82149159908294678</v>
      </c>
      <c r="H277" t="s">
        <v>1022</v>
      </c>
      <c r="I277">
        <v>0.76235711574554443</v>
      </c>
      <c r="J277" t="s">
        <v>179</v>
      </c>
      <c r="K277" s="4">
        <v>0.75726628303527832</v>
      </c>
      <c r="L277" t="s">
        <v>523</v>
      </c>
      <c r="M277">
        <v>0.35714856</v>
      </c>
      <c r="N277" t="s">
        <v>1023</v>
      </c>
      <c r="O277">
        <v>0.14781368</v>
      </c>
      <c r="P277" t="s">
        <v>764</v>
      </c>
      <c r="Q277" s="4">
        <v>6.3128420000000005E-2</v>
      </c>
      <c r="R277" t="s">
        <v>572</v>
      </c>
      <c r="S277">
        <v>0.42603865000000002</v>
      </c>
      <c r="T277" t="s">
        <v>98</v>
      </c>
      <c r="U277">
        <v>0.19478053000000001</v>
      </c>
      <c r="V277" t="s">
        <v>258</v>
      </c>
      <c r="W277">
        <v>4.4508873999999997E-2</v>
      </c>
    </row>
    <row r="278" spans="1:23" x14ac:dyDescent="0.25">
      <c r="A278" s="3" t="str">
        <f>HYPERLINK("http://ids.si.edu/ids/deliveryService?id=NMAH-AHB2014q062316","NMAH-AHB2014q062316")</f>
        <v>NMAH-AHB2014q062316</v>
      </c>
      <c r="B278" s="3" t="s">
        <v>1024</v>
      </c>
      <c r="C278" s="3">
        <v>1458853</v>
      </c>
      <c r="D278" s="3" t="s">
        <v>797</v>
      </c>
      <c r="E278" s="4" t="s">
        <v>1025</v>
      </c>
      <c r="F278" t="s">
        <v>50</v>
      </c>
      <c r="G278">
        <v>0.89785301685333252</v>
      </c>
      <c r="H278" t="s">
        <v>595</v>
      </c>
      <c r="I278">
        <v>0.85468393564224243</v>
      </c>
      <c r="J278" t="s">
        <v>49</v>
      </c>
      <c r="K278" s="4">
        <v>0.85113435983657837</v>
      </c>
      <c r="L278" t="s">
        <v>412</v>
      </c>
      <c r="M278">
        <v>0.1326194</v>
      </c>
      <c r="N278" t="s">
        <v>175</v>
      </c>
      <c r="O278">
        <v>9.7292400000000001E-2</v>
      </c>
      <c r="P278" t="s">
        <v>313</v>
      </c>
      <c r="Q278" s="4">
        <v>5.0844584000000012E-2</v>
      </c>
      <c r="R278" t="s">
        <v>175</v>
      </c>
      <c r="S278">
        <v>0.11604633</v>
      </c>
      <c r="T278" t="s">
        <v>369</v>
      </c>
      <c r="U278">
        <v>8.3837750000000003E-2</v>
      </c>
      <c r="V278" t="s">
        <v>392</v>
      </c>
      <c r="W278">
        <v>6.2372450000000003E-2</v>
      </c>
    </row>
    <row r="279" spans="1:23" x14ac:dyDescent="0.25">
      <c r="A279" s="3" t="str">
        <f>HYPERLINK("http://ids.si.edu/ids/deliveryService?id=NMAH-2002-28668","NMAH-2002-28668")</f>
        <v>NMAH-2002-28668</v>
      </c>
      <c r="B279" s="3" t="s">
        <v>1026</v>
      </c>
      <c r="C279" s="3">
        <v>1270589</v>
      </c>
      <c r="D279" s="3" t="s">
        <v>797</v>
      </c>
      <c r="E279" s="4" t="s">
        <v>1027</v>
      </c>
      <c r="F279" t="s">
        <v>39</v>
      </c>
      <c r="G279">
        <v>0.84432435035705566</v>
      </c>
      <c r="H279" t="s">
        <v>617</v>
      </c>
      <c r="I279">
        <v>0.76296454668045044</v>
      </c>
      <c r="J279" t="s">
        <v>293</v>
      </c>
      <c r="K279" s="4">
        <v>0.72516530752182007</v>
      </c>
      <c r="L279" t="s">
        <v>43</v>
      </c>
      <c r="M279">
        <v>0.82340586000000004</v>
      </c>
      <c r="N279" t="s">
        <v>45</v>
      </c>
      <c r="O279">
        <v>7.9985410000000007E-2</v>
      </c>
      <c r="P279" t="s">
        <v>79</v>
      </c>
      <c r="Q279" s="4">
        <v>4.7948725999999997E-2</v>
      </c>
      <c r="R279" t="s">
        <v>43</v>
      </c>
      <c r="S279">
        <v>0.59708154000000002</v>
      </c>
      <c r="T279" t="s">
        <v>1029</v>
      </c>
      <c r="U279">
        <v>0.106781945</v>
      </c>
      <c r="V279" t="s">
        <v>45</v>
      </c>
      <c r="W279">
        <v>9.5997910000000006E-2</v>
      </c>
    </row>
    <row r="280" spans="1:23" x14ac:dyDescent="0.25">
      <c r="A280" s="3" t="str">
        <f>HYPERLINK("http://ids.si.edu/ids/deliveryService?id=NMAH-2008-10514-000002","NMAH-2008-10514-000002")</f>
        <v>NMAH-2008-10514-000002</v>
      </c>
      <c r="B280" s="3" t="s">
        <v>1030</v>
      </c>
      <c r="C280" s="3">
        <v>214492</v>
      </c>
      <c r="D280" s="3" t="s">
        <v>797</v>
      </c>
      <c r="E280" s="4" t="s">
        <v>464</v>
      </c>
      <c r="F280" t="s">
        <v>574</v>
      </c>
      <c r="G280">
        <v>0.84392112493515015</v>
      </c>
      <c r="H280" t="s">
        <v>665</v>
      </c>
      <c r="I280">
        <v>0.78223466873168945</v>
      </c>
      <c r="J280" t="s">
        <v>667</v>
      </c>
      <c r="K280" s="4">
        <v>0.7168651819229126</v>
      </c>
      <c r="L280" t="s">
        <v>464</v>
      </c>
      <c r="M280">
        <v>0.1837048</v>
      </c>
      <c r="N280" t="s">
        <v>411</v>
      </c>
      <c r="O280">
        <v>0.15754908000000001</v>
      </c>
      <c r="P280" t="s">
        <v>416</v>
      </c>
      <c r="Q280" s="4">
        <v>0.13908577</v>
      </c>
      <c r="R280" t="s">
        <v>464</v>
      </c>
      <c r="S280">
        <v>0.18460809</v>
      </c>
      <c r="T280" t="s">
        <v>857</v>
      </c>
      <c r="U280">
        <v>8.8120273999999998E-2</v>
      </c>
      <c r="V280" t="s">
        <v>30</v>
      </c>
      <c r="W280">
        <v>6.6046450000000007E-2</v>
      </c>
    </row>
    <row r="281" spans="1:23" x14ac:dyDescent="0.25">
      <c r="A281" s="3" t="str">
        <f>HYPERLINK("http://ids.si.edu/ids/deliveryService?id=NMAH-AHB2017q035636","NMAH-AHB2017q035636")</f>
        <v>NMAH-AHB2017q035636</v>
      </c>
      <c r="B281" s="3" t="s">
        <v>1031</v>
      </c>
      <c r="C281" s="3">
        <v>582381</v>
      </c>
      <c r="D281" s="3" t="s">
        <v>797</v>
      </c>
      <c r="E281" s="4" t="s">
        <v>1032</v>
      </c>
      <c r="F281" t="s">
        <v>799</v>
      </c>
      <c r="G281">
        <v>0.98074722290039063</v>
      </c>
      <c r="H281" t="s">
        <v>856</v>
      </c>
      <c r="I281">
        <v>0.94243168830871582</v>
      </c>
      <c r="J281" t="s">
        <v>497</v>
      </c>
      <c r="K281" s="4">
        <v>0.92314410209655762</v>
      </c>
      <c r="L281" t="s">
        <v>853</v>
      </c>
      <c r="M281">
        <v>0.31623462000000002</v>
      </c>
      <c r="N281" t="s">
        <v>678</v>
      </c>
      <c r="O281">
        <v>7.1121274999999998E-2</v>
      </c>
      <c r="P281" t="s">
        <v>821</v>
      </c>
      <c r="Q281" s="4">
        <v>5.0577879999999999E-2</v>
      </c>
      <c r="R281" t="s">
        <v>364</v>
      </c>
      <c r="S281">
        <v>0.27013113999999999</v>
      </c>
      <c r="T281" t="s">
        <v>853</v>
      </c>
      <c r="U281">
        <v>0.14427699999999999</v>
      </c>
      <c r="V281" t="s">
        <v>150</v>
      </c>
      <c r="W281">
        <v>0.10370256</v>
      </c>
    </row>
    <row r="282" spans="1:23" x14ac:dyDescent="0.25">
      <c r="A282" s="3" t="str">
        <f>HYPERLINK("http://ids.si.edu/ids/deliveryService?id=NMAH-AHB2013q102389","NMAH-AHB2013q102389")</f>
        <v>NMAH-AHB2013q102389</v>
      </c>
      <c r="B282" s="3" t="s">
        <v>1033</v>
      </c>
      <c r="C282" s="3">
        <v>310600</v>
      </c>
      <c r="D282" s="3" t="s">
        <v>797</v>
      </c>
      <c r="E282" s="4" t="s">
        <v>826</v>
      </c>
      <c r="F282" t="s">
        <v>188</v>
      </c>
      <c r="G282">
        <v>0.57736802101135254</v>
      </c>
      <c r="H282" t="s">
        <v>1034</v>
      </c>
      <c r="I282">
        <v>0.55395454168319702</v>
      </c>
      <c r="J282" t="s">
        <v>62</v>
      </c>
      <c r="K282" s="4">
        <v>0.50218719244003296</v>
      </c>
      <c r="L282" t="s">
        <v>706</v>
      </c>
      <c r="M282">
        <v>0.13307352</v>
      </c>
      <c r="N282" t="s">
        <v>93</v>
      </c>
      <c r="O282">
        <v>9.0136090000000002E-2</v>
      </c>
      <c r="P282" t="s">
        <v>948</v>
      </c>
      <c r="Q282" s="4">
        <v>4.5685887000000001E-2</v>
      </c>
      <c r="R282" t="s">
        <v>948</v>
      </c>
      <c r="S282">
        <v>0.15839022</v>
      </c>
      <c r="T282" t="s">
        <v>813</v>
      </c>
      <c r="U282">
        <v>0.1324197</v>
      </c>
      <c r="V282" t="s">
        <v>159</v>
      </c>
      <c r="W282">
        <v>7.1869089999999997E-2</v>
      </c>
    </row>
    <row r="283" spans="1:23" x14ac:dyDescent="0.25">
      <c r="A283" s="3" t="str">
        <f>HYPERLINK("http://ids.si.edu/ids/deliveryService?id=NMAH-AHB2014q054885","NMAH-AHB2014q054885")</f>
        <v>NMAH-AHB2014q054885</v>
      </c>
      <c r="B283" s="3" t="s">
        <v>1035</v>
      </c>
      <c r="C283" s="3">
        <v>319869</v>
      </c>
      <c r="D283" s="3" t="s">
        <v>797</v>
      </c>
      <c r="E283" s="4" t="s">
        <v>1036</v>
      </c>
      <c r="F283" t="s">
        <v>147</v>
      </c>
      <c r="G283">
        <v>0.96862828731536865</v>
      </c>
      <c r="H283" t="s">
        <v>1037</v>
      </c>
      <c r="I283">
        <v>0.79909777641296387</v>
      </c>
      <c r="J283" t="s">
        <v>178</v>
      </c>
      <c r="K283" s="4">
        <v>0.72080999612808228</v>
      </c>
      <c r="L283" t="s">
        <v>673</v>
      </c>
      <c r="M283">
        <v>0.9296833000000001</v>
      </c>
      <c r="N283" t="s">
        <v>571</v>
      </c>
      <c r="O283">
        <v>2.0259376999999999E-2</v>
      </c>
      <c r="P283" t="s">
        <v>184</v>
      </c>
      <c r="Q283" s="4">
        <v>1.5284738000000001E-2</v>
      </c>
      <c r="R283" t="s">
        <v>673</v>
      </c>
      <c r="S283">
        <v>0.32146245000000001</v>
      </c>
      <c r="T283" t="s">
        <v>152</v>
      </c>
      <c r="U283">
        <v>0.31809387</v>
      </c>
      <c r="V283" t="s">
        <v>184</v>
      </c>
      <c r="W283">
        <v>0.11166645</v>
      </c>
    </row>
    <row r="284" spans="1:23" x14ac:dyDescent="0.25">
      <c r="A284" s="3" t="str">
        <f>HYPERLINK("http://ids.si.edu/ids/deliveryService?id=NMAH-AHB2014q101796","NMAH-AHB2014q101796")</f>
        <v>NMAH-AHB2014q101796</v>
      </c>
      <c r="B284" s="3" t="s">
        <v>1038</v>
      </c>
      <c r="C284" s="3">
        <v>571738</v>
      </c>
      <c r="D284" s="3" t="s">
        <v>797</v>
      </c>
      <c r="E284" s="4" t="s">
        <v>899</v>
      </c>
      <c r="F284" t="s">
        <v>832</v>
      </c>
      <c r="G284">
        <v>0.98366564512252808</v>
      </c>
      <c r="H284" t="s">
        <v>896</v>
      </c>
      <c r="I284">
        <v>0.97868496179580688</v>
      </c>
      <c r="J284" t="s">
        <v>799</v>
      </c>
      <c r="K284" s="4">
        <v>0.96703833341598511</v>
      </c>
      <c r="L284" t="s">
        <v>678</v>
      </c>
      <c r="M284">
        <v>0.939716</v>
      </c>
      <c r="N284" t="s">
        <v>336</v>
      </c>
      <c r="O284">
        <v>2.1888278000000001E-2</v>
      </c>
      <c r="P284" t="s">
        <v>86</v>
      </c>
      <c r="Q284" s="4">
        <v>1.03317015E-2</v>
      </c>
      <c r="R284" t="s">
        <v>71</v>
      </c>
      <c r="S284">
        <v>0.52330624999999997</v>
      </c>
      <c r="T284" t="s">
        <v>336</v>
      </c>
      <c r="U284">
        <v>0.19195445999999999</v>
      </c>
      <c r="V284" t="s">
        <v>159</v>
      </c>
      <c r="W284">
        <v>6.5467360000000002E-2</v>
      </c>
    </row>
    <row r="285" spans="1:23" x14ac:dyDescent="0.25">
      <c r="A285" s="3" t="str">
        <f>HYPERLINK("http://ids.si.edu/ids/deliveryService?id=NMAH-AHB2014q055014","NMAH-AHB2014q055014")</f>
        <v>NMAH-AHB2014q055014</v>
      </c>
      <c r="B285" s="3" t="s">
        <v>1040</v>
      </c>
      <c r="C285" s="3">
        <v>1064601</v>
      </c>
      <c r="D285" s="3" t="s">
        <v>797</v>
      </c>
      <c r="E285" s="4" t="s">
        <v>1041</v>
      </c>
      <c r="F285" t="s">
        <v>91</v>
      </c>
      <c r="G285">
        <v>0.91031128168106079</v>
      </c>
      <c r="H285" t="s">
        <v>800</v>
      </c>
      <c r="I285">
        <v>0.55484485626220703</v>
      </c>
      <c r="J285" t="s">
        <v>574</v>
      </c>
      <c r="K285" s="4">
        <v>0.53797447681427002</v>
      </c>
      <c r="L285" t="s">
        <v>689</v>
      </c>
      <c r="M285">
        <v>0.74629842999999996</v>
      </c>
      <c r="N285" t="s">
        <v>95</v>
      </c>
      <c r="O285">
        <v>0.11006853</v>
      </c>
      <c r="P285" t="s">
        <v>365</v>
      </c>
      <c r="Q285" s="4">
        <v>3.1632420000000001E-2</v>
      </c>
      <c r="R285" t="s">
        <v>689</v>
      </c>
      <c r="S285">
        <v>0.60104550000000001</v>
      </c>
      <c r="T285" t="s">
        <v>95</v>
      </c>
      <c r="U285">
        <v>7.7922759999999994E-2</v>
      </c>
      <c r="V285" t="s">
        <v>1042</v>
      </c>
      <c r="W285">
        <v>1.5372814E-2</v>
      </c>
    </row>
    <row r="286" spans="1:23" x14ac:dyDescent="0.25">
      <c r="A286" s="3" t="str">
        <f>HYPERLINK("http://ids.si.edu/ids/deliveryService?id=NMAH-AHB2013q093528","NMAH-AHB2013q093528")</f>
        <v>NMAH-AHB2013q093528</v>
      </c>
      <c r="B286" s="3" t="s">
        <v>1043</v>
      </c>
      <c r="C286" s="3">
        <v>303907</v>
      </c>
      <c r="D286" s="3" t="s">
        <v>797</v>
      </c>
      <c r="E286" s="4" t="s">
        <v>1044</v>
      </c>
      <c r="F286" t="s">
        <v>91</v>
      </c>
      <c r="G286">
        <v>0.93479853868484497</v>
      </c>
      <c r="H286" t="s">
        <v>147</v>
      </c>
      <c r="I286">
        <v>0.82748299837112427</v>
      </c>
      <c r="J286" t="s">
        <v>50</v>
      </c>
      <c r="K286" s="4">
        <v>0.7381446361541748</v>
      </c>
      <c r="L286" t="s">
        <v>703</v>
      </c>
      <c r="M286">
        <v>0.368035</v>
      </c>
      <c r="N286" t="s">
        <v>948</v>
      </c>
      <c r="O286">
        <v>7.6012730000000001E-2</v>
      </c>
      <c r="P286" t="s">
        <v>828</v>
      </c>
      <c r="Q286" s="4">
        <v>6.3219319999999996E-2</v>
      </c>
      <c r="R286" t="s">
        <v>365</v>
      </c>
      <c r="S286">
        <v>0.24638069000000001</v>
      </c>
      <c r="T286" t="s">
        <v>261</v>
      </c>
      <c r="U286">
        <v>5.5360899999999998E-2</v>
      </c>
      <c r="V286" t="s">
        <v>151</v>
      </c>
      <c r="W286">
        <v>3.9761417E-2</v>
      </c>
    </row>
    <row r="287" spans="1:23" x14ac:dyDescent="0.25">
      <c r="A287" s="3" t="str">
        <f>HYPERLINK("http://ids.si.edu/ids/deliveryService?id=NMAH-AHB2013q097927","NMAH-AHB2013q097927")</f>
        <v>NMAH-AHB2013q097927</v>
      </c>
      <c r="B287" s="3" t="s">
        <v>1045</v>
      </c>
      <c r="C287" s="3">
        <v>309534</v>
      </c>
      <c r="D287" s="3" t="s">
        <v>797</v>
      </c>
      <c r="E287" s="4" t="s">
        <v>1046</v>
      </c>
      <c r="F287" t="s">
        <v>615</v>
      </c>
      <c r="G287">
        <v>0.60989159345626831</v>
      </c>
      <c r="H287" t="s">
        <v>50</v>
      </c>
      <c r="I287">
        <v>0.5114516019821167</v>
      </c>
      <c r="J287" t="s">
        <v>38</v>
      </c>
      <c r="K287" s="4">
        <v>0.50473684072494507</v>
      </c>
      <c r="L287" t="s">
        <v>52</v>
      </c>
      <c r="M287">
        <v>0.47534483999999999</v>
      </c>
      <c r="N287" t="s">
        <v>175</v>
      </c>
      <c r="O287">
        <v>0.10157913</v>
      </c>
      <c r="P287" t="s">
        <v>765</v>
      </c>
      <c r="Q287" s="4">
        <v>7.2621439999999995E-2</v>
      </c>
      <c r="R287" t="s">
        <v>765</v>
      </c>
      <c r="S287">
        <v>0.14678442</v>
      </c>
      <c r="T287" t="s">
        <v>52</v>
      </c>
      <c r="U287">
        <v>0.11224565</v>
      </c>
      <c r="V287" t="s">
        <v>87</v>
      </c>
      <c r="W287">
        <v>9.5723130000000003E-2</v>
      </c>
    </row>
    <row r="288" spans="1:23" x14ac:dyDescent="0.25">
      <c r="A288" s="3" t="str">
        <f>HYPERLINK("http://ids.si.edu/ids/deliveryService?id=NMAH-AHB2013q090198","NMAH-AHB2013q090198")</f>
        <v>NMAH-AHB2013q090198</v>
      </c>
      <c r="B288" s="3" t="s">
        <v>1047</v>
      </c>
      <c r="C288" s="3">
        <v>1449115</v>
      </c>
      <c r="D288" s="3" t="s">
        <v>797</v>
      </c>
      <c r="E288" s="4" t="s">
        <v>146</v>
      </c>
      <c r="F288" t="s">
        <v>38</v>
      </c>
      <c r="G288">
        <v>0.76546788215637207</v>
      </c>
      <c r="H288" t="s">
        <v>147</v>
      </c>
      <c r="I288">
        <v>0.75440406799316406</v>
      </c>
      <c r="J288" t="s">
        <v>297</v>
      </c>
      <c r="K288" s="4">
        <v>0.61249780654907227</v>
      </c>
      <c r="L288" t="s">
        <v>226</v>
      </c>
      <c r="M288">
        <v>7.9414494000000002E-2</v>
      </c>
      <c r="N288" t="s">
        <v>460</v>
      </c>
      <c r="O288">
        <v>7.5176729999999997E-2</v>
      </c>
      <c r="P288" t="s">
        <v>260</v>
      </c>
      <c r="Q288" s="4">
        <v>7.3259340000000006E-2</v>
      </c>
      <c r="R288" t="s">
        <v>148</v>
      </c>
      <c r="S288">
        <v>0.19865404</v>
      </c>
      <c r="T288" t="s">
        <v>460</v>
      </c>
      <c r="U288">
        <v>0.17937776</v>
      </c>
      <c r="V288" t="s">
        <v>260</v>
      </c>
      <c r="W288">
        <v>0.104820184</v>
      </c>
    </row>
    <row r="289" spans="1:23" x14ac:dyDescent="0.25">
      <c r="A289" s="3" t="str">
        <f>HYPERLINK("http://ids.si.edu/ids/deliveryService?id=NMAH-AHB2014q060913","NMAH-AHB2014q060913")</f>
        <v>NMAH-AHB2014q060913</v>
      </c>
      <c r="B289" s="3" t="s">
        <v>1048</v>
      </c>
      <c r="C289" s="3">
        <v>301102</v>
      </c>
      <c r="D289" s="3" t="s">
        <v>797</v>
      </c>
      <c r="E289" s="4" t="s">
        <v>1049</v>
      </c>
      <c r="F289" t="s">
        <v>50</v>
      </c>
      <c r="G289">
        <v>0.83373856544494629</v>
      </c>
      <c r="H289" t="s">
        <v>667</v>
      </c>
      <c r="I289">
        <v>0.77421742677688599</v>
      </c>
      <c r="J289" t="s">
        <v>837</v>
      </c>
      <c r="K289" s="4">
        <v>0.6749381422996521</v>
      </c>
      <c r="L289" t="s">
        <v>749</v>
      </c>
      <c r="M289">
        <v>0.23079174999999999</v>
      </c>
      <c r="N289" t="s">
        <v>828</v>
      </c>
      <c r="O289">
        <v>0.10574692500000001</v>
      </c>
      <c r="P289" t="s">
        <v>166</v>
      </c>
      <c r="Q289" s="4">
        <v>9.5490030000000004E-2</v>
      </c>
      <c r="R289" t="s">
        <v>749</v>
      </c>
      <c r="S289">
        <v>0.27560392</v>
      </c>
      <c r="T289" t="s">
        <v>828</v>
      </c>
      <c r="U289">
        <v>0.12230597</v>
      </c>
      <c r="V289" t="s">
        <v>30</v>
      </c>
      <c r="W289">
        <v>5.5861340000000002E-2</v>
      </c>
    </row>
    <row r="290" spans="1:23" x14ac:dyDescent="0.25">
      <c r="A290" s="3" t="str">
        <f>HYPERLINK("http://ids.si.edu/ids/deliveryService?id=NMAH-RWS2016-10525","NMAH-RWS2016-10525")</f>
        <v>NMAH-RWS2016-10525</v>
      </c>
      <c r="B290" s="3" t="s">
        <v>1050</v>
      </c>
      <c r="C290" s="3">
        <v>659560</v>
      </c>
      <c r="D290" s="3" t="s">
        <v>797</v>
      </c>
      <c r="E290" s="4" t="s">
        <v>1051</v>
      </c>
      <c r="F290" t="s">
        <v>61</v>
      </c>
      <c r="G290">
        <v>0.9511113166809082</v>
      </c>
      <c r="H290" t="s">
        <v>112</v>
      </c>
      <c r="I290">
        <v>0.93831473588943481</v>
      </c>
      <c r="J290" t="s">
        <v>486</v>
      </c>
      <c r="K290" s="4">
        <v>0.66479164361953735</v>
      </c>
      <c r="L290" t="s">
        <v>1052</v>
      </c>
      <c r="M290">
        <v>0.14287409000000001</v>
      </c>
      <c r="N290" t="s">
        <v>405</v>
      </c>
      <c r="O290">
        <v>9.8827064000000006E-2</v>
      </c>
      <c r="P290" t="s">
        <v>45</v>
      </c>
      <c r="Q290" s="4">
        <v>7.2441939999999996E-2</v>
      </c>
      <c r="R290" t="s">
        <v>148</v>
      </c>
      <c r="S290">
        <v>0.1596505</v>
      </c>
      <c r="T290" t="s">
        <v>95</v>
      </c>
      <c r="U290">
        <v>0.11022941</v>
      </c>
      <c r="V290" t="s">
        <v>149</v>
      </c>
      <c r="W290">
        <v>7.6981229999999998E-2</v>
      </c>
    </row>
    <row r="291" spans="1:23" x14ac:dyDescent="0.25">
      <c r="A291" s="3" t="str">
        <f>HYPERLINK("http://ids.si.edu/ids/deliveryService?id=NMAH-ET2015-11494","NMAH-ET2015-11494")</f>
        <v>NMAH-ET2015-11494</v>
      </c>
      <c r="B291" s="3" t="s">
        <v>1053</v>
      </c>
      <c r="C291" s="3">
        <v>582421</v>
      </c>
      <c r="D291" s="3" t="s">
        <v>797</v>
      </c>
      <c r="E291" s="4" t="s">
        <v>30</v>
      </c>
      <c r="F291" t="s">
        <v>736</v>
      </c>
      <c r="G291">
        <v>0.95470666885375977</v>
      </c>
      <c r="H291" t="s">
        <v>809</v>
      </c>
      <c r="I291">
        <v>0.90200811624526978</v>
      </c>
      <c r="J291" t="s">
        <v>929</v>
      </c>
      <c r="K291" s="4">
        <v>0.9003298282623291</v>
      </c>
      <c r="L291" t="s">
        <v>30</v>
      </c>
      <c r="M291">
        <v>0.87956919999999994</v>
      </c>
      <c r="N291" t="s">
        <v>821</v>
      </c>
      <c r="O291">
        <v>4.579884E-2</v>
      </c>
      <c r="P291" t="s">
        <v>857</v>
      </c>
      <c r="Q291" s="4">
        <v>2.9621123999999999E-2</v>
      </c>
      <c r="R291" t="s">
        <v>30</v>
      </c>
      <c r="S291">
        <v>0.72816974000000001</v>
      </c>
      <c r="T291" t="s">
        <v>821</v>
      </c>
      <c r="U291">
        <v>0.16206297</v>
      </c>
      <c r="V291" t="s">
        <v>923</v>
      </c>
      <c r="W291">
        <v>4.3234455999999997E-2</v>
      </c>
    </row>
    <row r="292" spans="1:23" x14ac:dyDescent="0.25">
      <c r="A292" s="3" t="str">
        <f>HYPERLINK("http://ids.si.edu/ids/deliveryService?id=NMAH-AHB2013q092291","NMAH-AHB2013q092291")</f>
        <v>NMAH-AHB2013q092291</v>
      </c>
      <c r="B292" s="3" t="s">
        <v>1054</v>
      </c>
      <c r="C292" s="3">
        <v>323978</v>
      </c>
      <c r="D292" s="3" t="s">
        <v>797</v>
      </c>
      <c r="E292" s="4" t="s">
        <v>1055</v>
      </c>
      <c r="F292" t="s">
        <v>328</v>
      </c>
      <c r="G292">
        <v>0.60321927070617676</v>
      </c>
      <c r="L292" t="s">
        <v>83</v>
      </c>
      <c r="M292">
        <v>0.41022712</v>
      </c>
      <c r="N292" t="s">
        <v>370</v>
      </c>
      <c r="O292">
        <v>0.15558530000000001</v>
      </c>
      <c r="P292" t="s">
        <v>52</v>
      </c>
      <c r="Q292" s="4">
        <v>0.12612594999999999</v>
      </c>
      <c r="R292" t="s">
        <v>389</v>
      </c>
      <c r="S292">
        <v>0.38370286999999997</v>
      </c>
      <c r="T292" t="s">
        <v>53</v>
      </c>
      <c r="U292">
        <v>0.28262029999999999</v>
      </c>
      <c r="V292" t="s">
        <v>370</v>
      </c>
      <c r="W292">
        <v>0.11832611</v>
      </c>
    </row>
    <row r="293" spans="1:23" x14ac:dyDescent="0.25">
      <c r="A293" s="3" t="str">
        <f>HYPERLINK("http://ids.si.edu/ids/deliveryService?id=NMAH-AHB2017q097179","NMAH-AHB2017q097179")</f>
        <v>NMAH-AHB2017q097179</v>
      </c>
      <c r="B293" s="3" t="s">
        <v>1056</v>
      </c>
      <c r="C293" s="3">
        <v>1835161</v>
      </c>
      <c r="D293" s="3" t="s">
        <v>797</v>
      </c>
      <c r="E293" s="4" t="s">
        <v>1057</v>
      </c>
      <c r="F293" t="s">
        <v>91</v>
      </c>
      <c r="G293">
        <v>0.88283330202102661</v>
      </c>
      <c r="H293" t="s">
        <v>188</v>
      </c>
      <c r="I293">
        <v>0.72414928674697876</v>
      </c>
      <c r="J293" t="s">
        <v>1058</v>
      </c>
      <c r="K293" s="4">
        <v>0.63492411375045776</v>
      </c>
      <c r="L293" t="s">
        <v>464</v>
      </c>
      <c r="M293">
        <v>0.33178642000000003</v>
      </c>
      <c r="N293" t="s">
        <v>365</v>
      </c>
      <c r="O293">
        <v>5.9119610000000003E-2</v>
      </c>
      <c r="P293" t="s">
        <v>853</v>
      </c>
      <c r="Q293" s="4">
        <v>5.5417889999999997E-2</v>
      </c>
      <c r="R293" t="s">
        <v>813</v>
      </c>
      <c r="S293">
        <v>0.22445975000000001</v>
      </c>
      <c r="T293" t="s">
        <v>853</v>
      </c>
      <c r="U293">
        <v>0.17630048000000001</v>
      </c>
      <c r="V293" t="s">
        <v>303</v>
      </c>
      <c r="W293">
        <v>6.0525294E-2</v>
      </c>
    </row>
    <row r="294" spans="1:23" x14ac:dyDescent="0.25">
      <c r="A294" s="3" t="str">
        <f>HYPERLINK("http://ids.si.edu/ids/deliveryService?id=NMAH-AHB2013q090171","NMAH-AHB2013q090171")</f>
        <v>NMAH-AHB2013q090171</v>
      </c>
      <c r="B294" s="3" t="s">
        <v>1059</v>
      </c>
      <c r="C294" s="3">
        <v>1449125</v>
      </c>
      <c r="D294" s="3" t="s">
        <v>797</v>
      </c>
      <c r="E294" s="4" t="s">
        <v>850</v>
      </c>
      <c r="F294" t="s">
        <v>851</v>
      </c>
      <c r="G294">
        <v>0.96888291835784912</v>
      </c>
      <c r="H294" t="s">
        <v>816</v>
      </c>
      <c r="I294">
        <v>0.94735413789749146</v>
      </c>
      <c r="J294" t="s">
        <v>809</v>
      </c>
      <c r="K294" s="4">
        <v>0.83224481344223022</v>
      </c>
      <c r="L294" t="s">
        <v>498</v>
      </c>
      <c r="M294">
        <v>0.90228340000000007</v>
      </c>
      <c r="N294" t="s">
        <v>83</v>
      </c>
      <c r="O294">
        <v>4.2891044000000003E-2</v>
      </c>
      <c r="P294" t="s">
        <v>703</v>
      </c>
      <c r="Q294" s="4">
        <v>1.5481086999999999E-2</v>
      </c>
      <c r="R294" t="s">
        <v>83</v>
      </c>
      <c r="S294">
        <v>0.48383197</v>
      </c>
      <c r="T294" t="s">
        <v>175</v>
      </c>
      <c r="U294">
        <v>0.14554686999999999</v>
      </c>
      <c r="V294" t="s">
        <v>157</v>
      </c>
      <c r="W294">
        <v>7.3260279999999997E-2</v>
      </c>
    </row>
    <row r="295" spans="1:23" x14ac:dyDescent="0.25">
      <c r="A295" s="3" t="str">
        <f>HYPERLINK("http://ids.si.edu/ids/deliveryService?id=NMAH-AHB2014q054698","NMAH-AHB2014q054698")</f>
        <v>NMAH-AHB2014q054698</v>
      </c>
      <c r="B295" s="3" t="s">
        <v>1060</v>
      </c>
      <c r="C295" s="3">
        <v>678253</v>
      </c>
      <c r="D295" s="3" t="s">
        <v>797</v>
      </c>
      <c r="E295" s="4" t="s">
        <v>1061</v>
      </c>
      <c r="F295" t="s">
        <v>800</v>
      </c>
      <c r="G295">
        <v>0.5311163067817688</v>
      </c>
      <c r="L295" t="s">
        <v>689</v>
      </c>
      <c r="M295">
        <v>0.90119550000000004</v>
      </c>
      <c r="N295" t="s">
        <v>443</v>
      </c>
      <c r="O295">
        <v>4.7734063E-2</v>
      </c>
      <c r="P295" t="s">
        <v>365</v>
      </c>
      <c r="Q295" s="4">
        <v>3.4124184000000002E-2</v>
      </c>
      <c r="R295" t="s">
        <v>689</v>
      </c>
      <c r="S295">
        <v>0.60395885000000005</v>
      </c>
      <c r="T295" t="s">
        <v>95</v>
      </c>
      <c r="U295">
        <v>4.9325634000000007E-2</v>
      </c>
      <c r="V295" t="s">
        <v>363</v>
      </c>
      <c r="W295">
        <v>4.0673939999999999E-2</v>
      </c>
    </row>
    <row r="296" spans="1:23" x14ac:dyDescent="0.25">
      <c r="A296" s="3" t="str">
        <f>HYPERLINK("http://ids.si.edu/ids/deliveryService?id=NMAH-JN2014-4188","NMAH-JN2014-4188")</f>
        <v>NMAH-JN2014-4188</v>
      </c>
      <c r="B296" s="3" t="s">
        <v>1062</v>
      </c>
      <c r="C296" s="3">
        <v>324396</v>
      </c>
      <c r="D296" s="3" t="s">
        <v>797</v>
      </c>
      <c r="E296" s="4" t="s">
        <v>1063</v>
      </c>
      <c r="F296" t="s">
        <v>1064</v>
      </c>
      <c r="G296">
        <v>0.98009079694747925</v>
      </c>
      <c r="H296" t="s">
        <v>1065</v>
      </c>
      <c r="I296">
        <v>0.94984179735183716</v>
      </c>
      <c r="J296" t="s">
        <v>1066</v>
      </c>
      <c r="K296" s="4">
        <v>0.93242865800857544</v>
      </c>
      <c r="L296" t="s">
        <v>430</v>
      </c>
      <c r="M296">
        <v>0.35644239999999999</v>
      </c>
      <c r="N296" t="s">
        <v>1067</v>
      </c>
      <c r="O296">
        <v>7.5123430000000005E-2</v>
      </c>
      <c r="P296" t="s">
        <v>459</v>
      </c>
      <c r="Q296" s="4">
        <v>6.0612947E-2</v>
      </c>
      <c r="R296" t="s">
        <v>1067</v>
      </c>
      <c r="S296">
        <v>0.82605594000000004</v>
      </c>
      <c r="T296" t="s">
        <v>983</v>
      </c>
      <c r="U296">
        <v>2.2926485E-2</v>
      </c>
      <c r="V296" t="s">
        <v>857</v>
      </c>
      <c r="W296">
        <v>1.4475780000000001E-2</v>
      </c>
    </row>
    <row r="297" spans="1:23" x14ac:dyDescent="0.25">
      <c r="A297" s="3" t="str">
        <f>HYPERLINK("http://ids.si.edu/ids/deliveryService?id=NMAH-AHB2013q090074","NMAH-AHB2013q090074")</f>
        <v>NMAH-AHB2013q090074</v>
      </c>
      <c r="B297" s="3" t="s">
        <v>1068</v>
      </c>
      <c r="C297" s="3">
        <v>322879</v>
      </c>
      <c r="D297" s="3" t="s">
        <v>797</v>
      </c>
      <c r="E297" s="4" t="s">
        <v>834</v>
      </c>
      <c r="F297" t="s">
        <v>907</v>
      </c>
      <c r="G297">
        <v>0.96590662002563477</v>
      </c>
      <c r="H297" t="s">
        <v>816</v>
      </c>
      <c r="I297">
        <v>0.96049803495407104</v>
      </c>
      <c r="J297" t="s">
        <v>809</v>
      </c>
      <c r="K297" s="4">
        <v>0.89426112174987793</v>
      </c>
      <c r="L297" t="s">
        <v>879</v>
      </c>
      <c r="M297">
        <v>0.99554080000000011</v>
      </c>
      <c r="N297" t="s">
        <v>498</v>
      </c>
      <c r="O297">
        <v>2.205823E-3</v>
      </c>
      <c r="P297" t="s">
        <v>98</v>
      </c>
      <c r="Q297" s="4">
        <v>9.0758369999999991E-4</v>
      </c>
      <c r="R297" t="s">
        <v>879</v>
      </c>
      <c r="S297">
        <v>0.3051894</v>
      </c>
      <c r="T297" t="s">
        <v>83</v>
      </c>
      <c r="U297">
        <v>0.19629224000000001</v>
      </c>
      <c r="V297" t="s">
        <v>157</v>
      </c>
      <c r="W297">
        <v>0.12607541999999999</v>
      </c>
    </row>
    <row r="298" spans="1:23" x14ac:dyDescent="0.25">
      <c r="A298" s="3" t="str">
        <f>HYPERLINK("http://ids.si.edu/ids/deliveryService?id=NMAH-AHB2016q056877","NMAH-AHB2016q056877")</f>
        <v>NMAH-AHB2016q056877</v>
      </c>
      <c r="B298" s="3" t="s">
        <v>1069</v>
      </c>
      <c r="C298" s="3">
        <v>573682</v>
      </c>
      <c r="D298" s="3" t="s">
        <v>797</v>
      </c>
      <c r="E298" s="4" t="s">
        <v>1070</v>
      </c>
      <c r="F298" t="s">
        <v>846</v>
      </c>
      <c r="G298">
        <v>0.92159557342529297</v>
      </c>
      <c r="H298" t="s">
        <v>855</v>
      </c>
      <c r="I298">
        <v>0.91776174306869507</v>
      </c>
      <c r="J298" t="s">
        <v>917</v>
      </c>
      <c r="K298" s="4">
        <v>0.84434175491333008</v>
      </c>
      <c r="L298" t="s">
        <v>918</v>
      </c>
      <c r="M298">
        <v>0.74940609999999996</v>
      </c>
      <c r="N298" t="s">
        <v>1071</v>
      </c>
      <c r="O298">
        <v>0.12331172999999999</v>
      </c>
      <c r="P298" t="s">
        <v>857</v>
      </c>
      <c r="Q298" s="4">
        <v>4.6725053000000003E-2</v>
      </c>
      <c r="R298" t="s">
        <v>918</v>
      </c>
      <c r="S298">
        <v>0.49851744999999997</v>
      </c>
      <c r="T298" t="s">
        <v>1071</v>
      </c>
      <c r="U298">
        <v>0.4216531</v>
      </c>
      <c r="V298" t="s">
        <v>923</v>
      </c>
      <c r="W298">
        <v>1.4252781000000001E-2</v>
      </c>
    </row>
    <row r="299" spans="1:23" x14ac:dyDescent="0.25">
      <c r="A299" s="3" t="str">
        <f>HYPERLINK("http://ids.si.edu/ids/deliveryService?id=NMAH-AHB2013q093483","NMAH-AHB2013q093483")</f>
        <v>NMAH-AHB2013q093483</v>
      </c>
      <c r="B299" s="3" t="s">
        <v>1072</v>
      </c>
      <c r="C299" s="3">
        <v>313706</v>
      </c>
      <c r="D299" s="3" t="s">
        <v>797</v>
      </c>
      <c r="E299" s="4" t="s">
        <v>1073</v>
      </c>
      <c r="F299" t="s">
        <v>441</v>
      </c>
      <c r="G299">
        <v>0.73208904266357422</v>
      </c>
      <c r="H299" t="s">
        <v>1074</v>
      </c>
      <c r="I299">
        <v>0.68819218873977661</v>
      </c>
      <c r="J299" t="s">
        <v>112</v>
      </c>
      <c r="K299" s="4">
        <v>0.68572378158569336</v>
      </c>
      <c r="L299" t="s">
        <v>801</v>
      </c>
      <c r="M299">
        <v>0.66100939999999997</v>
      </c>
      <c r="N299" t="s">
        <v>829</v>
      </c>
      <c r="O299">
        <v>5.2756958E-2</v>
      </c>
      <c r="P299" t="s">
        <v>190</v>
      </c>
      <c r="Q299" s="4">
        <v>4.9221809999999998E-2</v>
      </c>
      <c r="R299" t="s">
        <v>151</v>
      </c>
      <c r="S299">
        <v>8.1436040000000001E-2</v>
      </c>
      <c r="T299" t="s">
        <v>66</v>
      </c>
      <c r="U299">
        <v>7.1878189999999995E-2</v>
      </c>
      <c r="V299" t="s">
        <v>303</v>
      </c>
      <c r="W299">
        <v>5.3412660000000001E-2</v>
      </c>
    </row>
    <row r="300" spans="1:23" x14ac:dyDescent="0.25">
      <c r="A300" s="3" t="str">
        <f>HYPERLINK("http://ids.si.edu/ids/deliveryService?id=NMAH-AHB2013q092299","NMAH-AHB2013q092299")</f>
        <v>NMAH-AHB2013q092299</v>
      </c>
      <c r="B300" s="3" t="s">
        <v>1075</v>
      </c>
      <c r="C300" s="3">
        <v>323992</v>
      </c>
      <c r="D300" s="3" t="s">
        <v>797</v>
      </c>
      <c r="E300" s="4" t="s">
        <v>1076</v>
      </c>
      <c r="F300" t="s">
        <v>882</v>
      </c>
      <c r="G300">
        <v>0.76782596111297607</v>
      </c>
      <c r="H300" t="s">
        <v>323</v>
      </c>
      <c r="I300">
        <v>0.68826973438262939</v>
      </c>
      <c r="J300" t="s">
        <v>328</v>
      </c>
      <c r="K300" s="4">
        <v>0.68557459115982056</v>
      </c>
      <c r="L300" t="s">
        <v>83</v>
      </c>
      <c r="M300">
        <v>0.52748719999999993</v>
      </c>
      <c r="N300" t="s">
        <v>245</v>
      </c>
      <c r="O300">
        <v>0.107785426</v>
      </c>
      <c r="P300" t="s">
        <v>214</v>
      </c>
      <c r="Q300" s="4">
        <v>9.6279740000000003E-2</v>
      </c>
      <c r="R300" t="s">
        <v>53</v>
      </c>
      <c r="S300">
        <v>0.24147484</v>
      </c>
      <c r="T300" t="s">
        <v>389</v>
      </c>
      <c r="U300">
        <v>0.17013386999999999</v>
      </c>
      <c r="V300" t="s">
        <v>83</v>
      </c>
      <c r="W300">
        <v>0.15932560000000001</v>
      </c>
    </row>
    <row r="301" spans="1:23" x14ac:dyDescent="0.25">
      <c r="A301" s="3" t="str">
        <f>HYPERLINK("http://ids.si.edu/ids/deliveryService?id=NMAH-AHB2013q092004","NMAH-AHB2013q092004")</f>
        <v>NMAH-AHB2013q092004</v>
      </c>
      <c r="B301" s="3" t="s">
        <v>1077</v>
      </c>
      <c r="C301" s="3">
        <v>323900</v>
      </c>
      <c r="D301" s="3" t="s">
        <v>797</v>
      </c>
      <c r="E301" s="4" t="s">
        <v>322</v>
      </c>
      <c r="F301" t="s">
        <v>323</v>
      </c>
      <c r="G301">
        <v>0.79926395416259766</v>
      </c>
      <c r="H301" t="s">
        <v>1078</v>
      </c>
      <c r="I301">
        <v>0.7260509729385376</v>
      </c>
      <c r="J301" t="s">
        <v>324</v>
      </c>
      <c r="K301" s="4">
        <v>0.60302680730819702</v>
      </c>
      <c r="L301" t="s">
        <v>52</v>
      </c>
      <c r="M301">
        <v>0.48160979999999998</v>
      </c>
      <c r="N301" t="s">
        <v>83</v>
      </c>
      <c r="O301">
        <v>0.46561402000000002</v>
      </c>
      <c r="P301" t="s">
        <v>87</v>
      </c>
      <c r="Q301" s="4">
        <v>2.0156723000000001E-2</v>
      </c>
      <c r="R301" t="s">
        <v>83</v>
      </c>
      <c r="S301">
        <v>0.23452379000000001</v>
      </c>
      <c r="T301" t="s">
        <v>389</v>
      </c>
      <c r="U301">
        <v>0.14336521999999999</v>
      </c>
      <c r="V301" t="s">
        <v>879</v>
      </c>
      <c r="W301">
        <v>0.11507255600000001</v>
      </c>
    </row>
    <row r="302" spans="1:23" x14ac:dyDescent="0.25">
      <c r="A302" s="3" t="str">
        <f>HYPERLINK("http://ids.si.edu/ids/deliveryService?id=NMAH-2003-37594","NMAH-2003-37594")</f>
        <v>NMAH-2003-37594</v>
      </c>
      <c r="B302" s="3" t="s">
        <v>1079</v>
      </c>
      <c r="C302" s="3">
        <v>1216107</v>
      </c>
      <c r="D302" s="3" t="s">
        <v>797</v>
      </c>
      <c r="E302" s="4" t="s">
        <v>1080</v>
      </c>
      <c r="F302" t="s">
        <v>511</v>
      </c>
      <c r="G302">
        <v>0.98021841049194336</v>
      </c>
      <c r="H302" t="s">
        <v>101</v>
      </c>
      <c r="I302">
        <v>0.97483813762664795</v>
      </c>
      <c r="J302" t="s">
        <v>1081</v>
      </c>
      <c r="K302" s="4">
        <v>0.92048746347427368</v>
      </c>
      <c r="L302" t="s">
        <v>512</v>
      </c>
      <c r="M302">
        <v>0.21635556</v>
      </c>
      <c r="N302" t="s">
        <v>464</v>
      </c>
      <c r="O302">
        <v>0.14747429000000001</v>
      </c>
      <c r="P302" t="s">
        <v>620</v>
      </c>
      <c r="Q302" s="4">
        <v>9.4995800000000005E-2</v>
      </c>
      <c r="R302" t="s">
        <v>113</v>
      </c>
      <c r="S302">
        <v>0.64316870000000004</v>
      </c>
      <c r="T302" t="s">
        <v>95</v>
      </c>
      <c r="U302">
        <v>7.3703475000000004E-2</v>
      </c>
      <c r="V302" t="s">
        <v>923</v>
      </c>
      <c r="W302">
        <v>5.8720920000000003E-2</v>
      </c>
    </row>
    <row r="303" spans="1:23" x14ac:dyDescent="0.25">
      <c r="A303" s="3" t="str">
        <f>HYPERLINK("http://ids.si.edu/ids/deliveryService?id=NMAH-AHB2013q098487","NMAH-AHB2013q098487")</f>
        <v>NMAH-AHB2013q098487</v>
      </c>
      <c r="B303" s="3" t="s">
        <v>1082</v>
      </c>
      <c r="C303" s="3">
        <v>310281</v>
      </c>
      <c r="D303" s="3" t="s">
        <v>797</v>
      </c>
      <c r="E303" s="4" t="s">
        <v>826</v>
      </c>
      <c r="F303" t="s">
        <v>1083</v>
      </c>
      <c r="G303">
        <v>0.84496045112609863</v>
      </c>
      <c r="H303" t="s">
        <v>946</v>
      </c>
      <c r="I303">
        <v>0.75653403997421265</v>
      </c>
      <c r="J303" t="s">
        <v>188</v>
      </c>
      <c r="K303" s="4">
        <v>0.67978137731552124</v>
      </c>
      <c r="L303" t="s">
        <v>1084</v>
      </c>
      <c r="M303">
        <v>0.48234053999999998</v>
      </c>
      <c r="N303" t="s">
        <v>1085</v>
      </c>
      <c r="O303">
        <v>0.14722092000000001</v>
      </c>
      <c r="P303" t="s">
        <v>159</v>
      </c>
      <c r="Q303" s="4">
        <v>7.640052E-2</v>
      </c>
      <c r="R303" t="s">
        <v>185</v>
      </c>
      <c r="S303">
        <v>0.15587793</v>
      </c>
      <c r="T303" t="s">
        <v>1086</v>
      </c>
      <c r="U303">
        <v>0.15074456999999999</v>
      </c>
      <c r="V303" t="s">
        <v>66</v>
      </c>
      <c r="W303">
        <v>0.12648048000000001</v>
      </c>
    </row>
    <row r="304" spans="1:23" x14ac:dyDescent="0.25">
      <c r="A304" s="3" t="str">
        <f>HYPERLINK("http://ids.si.edu/ids/deliveryService?id=NMAH-JN2018-00094-000001","NMAH-JN2018-00094-000001")</f>
        <v>NMAH-JN2018-00094-000001</v>
      </c>
      <c r="B304" s="3" t="s">
        <v>1087</v>
      </c>
      <c r="C304" s="3">
        <v>1060594</v>
      </c>
      <c r="D304" s="3" t="s">
        <v>797</v>
      </c>
      <c r="E304" s="4" t="s">
        <v>1088</v>
      </c>
      <c r="F304" t="s">
        <v>1089</v>
      </c>
      <c r="G304">
        <v>0.97139942646026611</v>
      </c>
      <c r="H304" t="s">
        <v>1090</v>
      </c>
      <c r="I304">
        <v>0.96350365877151489</v>
      </c>
      <c r="J304" t="s">
        <v>747</v>
      </c>
      <c r="K304" s="4">
        <v>0.94015181064605713</v>
      </c>
      <c r="L304" t="s">
        <v>314</v>
      </c>
      <c r="M304">
        <v>0.97121080000000004</v>
      </c>
      <c r="N304" t="s">
        <v>620</v>
      </c>
      <c r="O304">
        <v>2.741327E-2</v>
      </c>
      <c r="P304" t="s">
        <v>1091</v>
      </c>
      <c r="Q304" s="4">
        <v>3.5888716000000002E-4</v>
      </c>
      <c r="R304" t="s">
        <v>314</v>
      </c>
      <c r="S304">
        <v>0.7986356</v>
      </c>
      <c r="T304" t="s">
        <v>620</v>
      </c>
      <c r="U304">
        <v>0.12376737</v>
      </c>
      <c r="V304" t="s">
        <v>276</v>
      </c>
      <c r="W304">
        <v>3.2384370000000003E-2</v>
      </c>
    </row>
    <row r="305" spans="1:23" x14ac:dyDescent="0.25">
      <c r="A305" s="3" t="str">
        <f>HYPERLINK("http://ids.si.edu/ids/deliveryService?id=NMAH-AHB2014q102015","NMAH-AHB2014q102015")</f>
        <v>NMAH-AHB2014q102015</v>
      </c>
      <c r="B305" s="3" t="s">
        <v>1092</v>
      </c>
      <c r="C305" s="3">
        <v>571881</v>
      </c>
      <c r="D305" s="3" t="s">
        <v>797</v>
      </c>
      <c r="E305" s="4" t="s">
        <v>899</v>
      </c>
      <c r="F305" t="s">
        <v>832</v>
      </c>
      <c r="G305">
        <v>0.98517274856567383</v>
      </c>
      <c r="H305" t="s">
        <v>896</v>
      </c>
      <c r="I305">
        <v>0.98336607217788696</v>
      </c>
      <c r="J305" t="s">
        <v>799</v>
      </c>
      <c r="K305" s="4">
        <v>0.97838562726974487</v>
      </c>
      <c r="L305" t="s">
        <v>678</v>
      </c>
      <c r="M305">
        <v>0.75954496999999999</v>
      </c>
      <c r="N305" t="s">
        <v>86</v>
      </c>
      <c r="O305">
        <v>4.2368219999999998E-2</v>
      </c>
      <c r="P305" t="s">
        <v>897</v>
      </c>
      <c r="Q305" s="4">
        <v>2.1788209999999999E-2</v>
      </c>
      <c r="R305" t="s">
        <v>336</v>
      </c>
      <c r="S305">
        <v>0.23858853999999999</v>
      </c>
      <c r="T305" t="s">
        <v>678</v>
      </c>
      <c r="U305">
        <v>0.21164115999999999</v>
      </c>
      <c r="V305" t="s">
        <v>1093</v>
      </c>
      <c r="W305">
        <v>0.12646821</v>
      </c>
    </row>
    <row r="306" spans="1:23" x14ac:dyDescent="0.25">
      <c r="A306" s="3" t="str">
        <f>HYPERLINK("http://ids.si.edu/ids/deliveryService?id=NMAH-AHB2016q056059","NMAH-AHB2016q056059")</f>
        <v>NMAH-AHB2016q056059</v>
      </c>
      <c r="B306" s="3" t="s">
        <v>1094</v>
      </c>
      <c r="C306" s="3">
        <v>574102</v>
      </c>
      <c r="D306" s="3" t="s">
        <v>797</v>
      </c>
      <c r="E306" s="4" t="s">
        <v>952</v>
      </c>
      <c r="F306" t="s">
        <v>846</v>
      </c>
      <c r="G306">
        <v>0.94524186849594116</v>
      </c>
      <c r="H306" t="s">
        <v>953</v>
      </c>
      <c r="I306">
        <v>0.93851113319396973</v>
      </c>
      <c r="J306" t="s">
        <v>837</v>
      </c>
      <c r="K306" s="4">
        <v>0.92413508892059326</v>
      </c>
      <c r="L306" t="s">
        <v>923</v>
      </c>
      <c r="M306">
        <v>0.33868345999999999</v>
      </c>
      <c r="N306" t="s">
        <v>464</v>
      </c>
      <c r="O306">
        <v>0.23675864999999999</v>
      </c>
      <c r="P306" t="s">
        <v>821</v>
      </c>
      <c r="Q306" s="4">
        <v>0.21676195000000001</v>
      </c>
      <c r="R306" t="s">
        <v>30</v>
      </c>
      <c r="S306">
        <v>0.32641896999999997</v>
      </c>
      <c r="T306" t="s">
        <v>923</v>
      </c>
      <c r="U306">
        <v>0.20419979999999999</v>
      </c>
      <c r="V306" t="s">
        <v>464</v>
      </c>
      <c r="W306">
        <v>0.19944571999999999</v>
      </c>
    </row>
    <row r="307" spans="1:23" x14ac:dyDescent="0.25">
      <c r="A307" s="3" t="str">
        <f>HYPERLINK("http://ids.si.edu/ids/deliveryService?id=NMAH-AHB2014q059655-000002","NMAH-AHB2014q059655-000002")</f>
        <v>NMAH-AHB2014q059655-000002</v>
      </c>
      <c r="B307" s="3" t="s">
        <v>1095</v>
      </c>
      <c r="C307" s="3">
        <v>315512</v>
      </c>
      <c r="D307" s="3" t="s">
        <v>797</v>
      </c>
      <c r="E307" s="4" t="s">
        <v>834</v>
      </c>
      <c r="F307" t="s">
        <v>91</v>
      </c>
      <c r="G307">
        <v>0.88283330202102661</v>
      </c>
      <c r="H307" t="s">
        <v>328</v>
      </c>
      <c r="I307">
        <v>0.6061396598815918</v>
      </c>
      <c r="J307" t="s">
        <v>50</v>
      </c>
      <c r="K307" s="4">
        <v>0.5114516019821167</v>
      </c>
      <c r="L307" t="s">
        <v>175</v>
      </c>
      <c r="M307">
        <v>0.37185645000000001</v>
      </c>
      <c r="N307" t="s">
        <v>159</v>
      </c>
      <c r="O307">
        <v>0.11941143999999999</v>
      </c>
      <c r="P307" t="s">
        <v>706</v>
      </c>
      <c r="Q307" s="4">
        <v>0.11861976</v>
      </c>
      <c r="R307" t="s">
        <v>83</v>
      </c>
      <c r="S307">
        <v>0.14247399999999999</v>
      </c>
      <c r="T307" t="s">
        <v>175</v>
      </c>
      <c r="U307">
        <v>8.3554180000000006E-2</v>
      </c>
      <c r="V307" t="s">
        <v>84</v>
      </c>
      <c r="W307">
        <v>6.8250600000000008E-2</v>
      </c>
    </row>
    <row r="308" spans="1:23" x14ac:dyDescent="0.25">
      <c r="A308" s="3" t="str">
        <f>HYPERLINK("http://ids.si.edu/ids/deliveryService?id=NMAH-AHB2013q092385","NMAH-AHB2013q092385")</f>
        <v>NMAH-AHB2013q092385</v>
      </c>
      <c r="B308" s="3" t="s">
        <v>1096</v>
      </c>
      <c r="C308" s="3">
        <v>313602</v>
      </c>
      <c r="D308" s="3" t="s">
        <v>797</v>
      </c>
      <c r="E308" s="4" t="s">
        <v>1097</v>
      </c>
      <c r="F308" t="s">
        <v>61</v>
      </c>
      <c r="G308">
        <v>0.85248786211013794</v>
      </c>
      <c r="H308" t="s">
        <v>38</v>
      </c>
      <c r="I308">
        <v>0.73405641317367554</v>
      </c>
      <c r="J308" t="s">
        <v>486</v>
      </c>
      <c r="K308" s="4">
        <v>0.70403504371643066</v>
      </c>
      <c r="L308" t="s">
        <v>253</v>
      </c>
      <c r="M308">
        <v>0.15462506000000001</v>
      </c>
      <c r="N308" t="s">
        <v>1098</v>
      </c>
      <c r="O308">
        <v>0.13383241000000001</v>
      </c>
      <c r="P308" t="s">
        <v>1099</v>
      </c>
      <c r="Q308" s="4">
        <v>0.10750608</v>
      </c>
      <c r="R308" t="s">
        <v>151</v>
      </c>
      <c r="S308">
        <v>0.29366195</v>
      </c>
      <c r="T308" t="s">
        <v>66</v>
      </c>
      <c r="U308">
        <v>7.9577309999999998E-2</v>
      </c>
      <c r="V308" t="s">
        <v>765</v>
      </c>
      <c r="W308">
        <v>7.1500554999999993E-2</v>
      </c>
    </row>
    <row r="309" spans="1:23" x14ac:dyDescent="0.25">
      <c r="A309" s="3" t="str">
        <f>HYPERLINK("http://ids.si.edu/ids/deliveryService?id=NMAH-AHB2017q030871","NMAH-AHB2017q030871")</f>
        <v>NMAH-AHB2017q030871</v>
      </c>
      <c r="B309" s="3" t="s">
        <v>1100</v>
      </c>
      <c r="C309" s="3">
        <v>579263</v>
      </c>
      <c r="D309" s="3" t="s">
        <v>797</v>
      </c>
      <c r="E309" s="4" t="s">
        <v>1005</v>
      </c>
      <c r="F309" t="s">
        <v>1006</v>
      </c>
      <c r="G309">
        <v>0.93098527193069458</v>
      </c>
      <c r="H309" t="s">
        <v>917</v>
      </c>
      <c r="I309">
        <v>0.92986857891082764</v>
      </c>
      <c r="J309" t="s">
        <v>1007</v>
      </c>
      <c r="K309" s="4">
        <v>0.91585820913314819</v>
      </c>
      <c r="L309" t="s">
        <v>86</v>
      </c>
      <c r="M309">
        <v>0.32409373000000002</v>
      </c>
      <c r="N309" t="s">
        <v>853</v>
      </c>
      <c r="O309">
        <v>0.25552760000000002</v>
      </c>
      <c r="P309" t="s">
        <v>857</v>
      </c>
      <c r="Q309" s="4">
        <v>0.10256025000000001</v>
      </c>
      <c r="R309" t="s">
        <v>86</v>
      </c>
      <c r="S309">
        <v>0.2908095</v>
      </c>
      <c r="T309" t="s">
        <v>364</v>
      </c>
      <c r="U309">
        <v>0.12127254</v>
      </c>
      <c r="V309" t="s">
        <v>853</v>
      </c>
      <c r="W309">
        <v>0.11754305</v>
      </c>
    </row>
    <row r="310" spans="1:23" x14ac:dyDescent="0.25">
      <c r="A310" s="3" t="str">
        <f>HYPERLINK("http://ids.si.edu/ids/deliveryService?id=NMAH-AHB2014q066754","NMAH-AHB2014q066754")</f>
        <v>NMAH-AHB2014q066754</v>
      </c>
      <c r="B310" s="3" t="s">
        <v>1101</v>
      </c>
      <c r="C310" s="3">
        <v>308262</v>
      </c>
      <c r="D310" s="3" t="s">
        <v>797</v>
      </c>
      <c r="E310" s="4" t="s">
        <v>1102</v>
      </c>
      <c r="F310" t="s">
        <v>264</v>
      </c>
      <c r="G310">
        <v>0.86947262287139893</v>
      </c>
      <c r="H310" t="s">
        <v>525</v>
      </c>
      <c r="I310">
        <v>0.86465346813201904</v>
      </c>
      <c r="J310" t="s">
        <v>265</v>
      </c>
      <c r="K310" s="4">
        <v>0.82814764976501465</v>
      </c>
      <c r="L310" t="s">
        <v>379</v>
      </c>
      <c r="M310">
        <v>0.15854934000000001</v>
      </c>
      <c r="N310" t="s">
        <v>79</v>
      </c>
      <c r="O310">
        <v>0.11657735</v>
      </c>
      <c r="P310" t="s">
        <v>259</v>
      </c>
      <c r="Q310" s="4">
        <v>5.3499739999999997E-2</v>
      </c>
      <c r="R310" t="s">
        <v>95</v>
      </c>
      <c r="S310">
        <v>7.4138949999999995E-2</v>
      </c>
      <c r="T310" t="s">
        <v>678</v>
      </c>
      <c r="U310">
        <v>5.1865064000000002E-2</v>
      </c>
      <c r="V310" t="s">
        <v>209</v>
      </c>
      <c r="W310">
        <v>4.3975269999999997E-2</v>
      </c>
    </row>
    <row r="311" spans="1:23" x14ac:dyDescent="0.25">
      <c r="A311" s="3" t="str">
        <f>HYPERLINK("http://ids.si.edu/ids/deliveryService?id=NMAH-AHB2013q080899","NMAH-AHB2013q080899")</f>
        <v>NMAH-AHB2013q080899</v>
      </c>
      <c r="B311" s="3" t="s">
        <v>1103</v>
      </c>
      <c r="C311" s="3">
        <v>301809</v>
      </c>
      <c r="D311" s="3" t="s">
        <v>797</v>
      </c>
      <c r="E311" s="4" t="s">
        <v>850</v>
      </c>
      <c r="F311" t="s">
        <v>851</v>
      </c>
      <c r="G311">
        <v>0.96748065948486328</v>
      </c>
      <c r="H311" t="s">
        <v>816</v>
      </c>
      <c r="I311">
        <v>0.92771196365356445</v>
      </c>
      <c r="J311" t="s">
        <v>1104</v>
      </c>
      <c r="K311" s="4">
        <v>0.80862075090408325</v>
      </c>
      <c r="L311" t="s">
        <v>498</v>
      </c>
      <c r="M311">
        <v>0.56548750000000003</v>
      </c>
      <c r="N311" t="s">
        <v>83</v>
      </c>
      <c r="O311">
        <v>0.20700529000000001</v>
      </c>
      <c r="P311" t="s">
        <v>703</v>
      </c>
      <c r="Q311" s="4">
        <v>3.6243297000000001E-2</v>
      </c>
      <c r="R311" t="s">
        <v>83</v>
      </c>
      <c r="S311">
        <v>0.60756899999999991</v>
      </c>
      <c r="T311" t="s">
        <v>157</v>
      </c>
      <c r="U311">
        <v>0.14730650000000001</v>
      </c>
      <c r="V311" t="s">
        <v>159</v>
      </c>
      <c r="W311">
        <v>4.8987507999999999E-2</v>
      </c>
    </row>
    <row r="312" spans="1:23" x14ac:dyDescent="0.25">
      <c r="A312" s="3" t="str">
        <f>HYPERLINK("http://ids.si.edu/ids/deliveryService?id=NMAH-AHB2014q054028","NMAH-AHB2014q054028")</f>
        <v>NMAH-AHB2014q054028</v>
      </c>
      <c r="B312" s="3" t="s">
        <v>1105</v>
      </c>
      <c r="C312" s="3">
        <v>310660</v>
      </c>
      <c r="D312" s="3" t="s">
        <v>797</v>
      </c>
      <c r="E312" s="4" t="s">
        <v>1106</v>
      </c>
      <c r="F312" t="s">
        <v>91</v>
      </c>
      <c r="G312">
        <v>0.9462587833404541</v>
      </c>
      <c r="H312" t="s">
        <v>974</v>
      </c>
      <c r="I312">
        <v>0.945656418800354</v>
      </c>
      <c r="J312" t="s">
        <v>809</v>
      </c>
      <c r="K312" s="4">
        <v>0.77089381217956543</v>
      </c>
      <c r="L312" t="s">
        <v>213</v>
      </c>
      <c r="M312">
        <v>0.53588413999999995</v>
      </c>
      <c r="N312" t="s">
        <v>498</v>
      </c>
      <c r="O312">
        <v>0.17836563</v>
      </c>
      <c r="P312" t="s">
        <v>1013</v>
      </c>
      <c r="Q312" s="4">
        <v>9.1050394000000007E-2</v>
      </c>
      <c r="R312" t="s">
        <v>213</v>
      </c>
      <c r="S312">
        <v>0.56216717000000005</v>
      </c>
      <c r="T312" t="s">
        <v>1013</v>
      </c>
      <c r="U312">
        <v>6.2522549999999996E-2</v>
      </c>
      <c r="V312" t="s">
        <v>848</v>
      </c>
      <c r="W312">
        <v>3.7742603999999999E-2</v>
      </c>
    </row>
    <row r="313" spans="1:23" x14ac:dyDescent="0.25">
      <c r="A313" s="3" t="str">
        <f>HYPERLINK("http://ids.si.edu/ids/deliveryService?id=NMAH-AHB2015q001113","NMAH-AHB2015q001113")</f>
        <v>NMAH-AHB2015q001113</v>
      </c>
      <c r="B313" s="3" t="s">
        <v>1107</v>
      </c>
      <c r="C313" s="3">
        <v>1442769</v>
      </c>
      <c r="D313" s="3" t="s">
        <v>797</v>
      </c>
      <c r="E313" s="4" t="s">
        <v>960</v>
      </c>
      <c r="F313" t="s">
        <v>1108</v>
      </c>
      <c r="G313">
        <v>0.91020077466964722</v>
      </c>
      <c r="H313" t="s">
        <v>870</v>
      </c>
      <c r="I313">
        <v>0.8488737940788269</v>
      </c>
      <c r="J313" t="s">
        <v>1109</v>
      </c>
      <c r="K313" s="4">
        <v>0.82329398393630981</v>
      </c>
      <c r="L313" t="s">
        <v>43</v>
      </c>
      <c r="M313">
        <v>0.98724467000000005</v>
      </c>
      <c r="N313" t="s">
        <v>79</v>
      </c>
      <c r="O313">
        <v>4.3450720000000002E-3</v>
      </c>
      <c r="P313" t="s">
        <v>42</v>
      </c>
      <c r="Q313" s="4">
        <v>1.6637096E-3</v>
      </c>
      <c r="R313" t="s">
        <v>43</v>
      </c>
      <c r="S313">
        <v>0.91721900000000001</v>
      </c>
      <c r="T313" t="s">
        <v>42</v>
      </c>
      <c r="U313">
        <v>2.2926439999999999E-2</v>
      </c>
      <c r="V313" t="s">
        <v>1029</v>
      </c>
      <c r="W313">
        <v>1.0374388999999999E-2</v>
      </c>
    </row>
    <row r="314" spans="1:23" x14ac:dyDescent="0.25">
      <c r="A314" s="3" t="str">
        <f>HYPERLINK("http://ids.si.edu/ids/deliveryService?id=NMAH-AHB2013q080702","NMAH-AHB2013q080702")</f>
        <v>NMAH-AHB2013q080702</v>
      </c>
      <c r="B314" s="3" t="s">
        <v>1112</v>
      </c>
      <c r="C314" s="3">
        <v>301727</v>
      </c>
      <c r="D314" s="3" t="s">
        <v>797</v>
      </c>
      <c r="E314" s="4" t="s">
        <v>850</v>
      </c>
      <c r="F314" t="s">
        <v>851</v>
      </c>
      <c r="G314">
        <v>0.94958364963531494</v>
      </c>
      <c r="H314" t="s">
        <v>816</v>
      </c>
      <c r="I314">
        <v>0.92200058698654175</v>
      </c>
      <c r="J314" t="s">
        <v>809</v>
      </c>
      <c r="K314" s="4">
        <v>0.80609655380249023</v>
      </c>
      <c r="L314" t="s">
        <v>83</v>
      </c>
      <c r="M314">
        <v>0.40424174000000002</v>
      </c>
      <c r="N314" t="s">
        <v>498</v>
      </c>
      <c r="O314">
        <v>0.30693787</v>
      </c>
      <c r="P314" t="s">
        <v>703</v>
      </c>
      <c r="Q314" s="4">
        <v>5.0042238000000003E-2</v>
      </c>
      <c r="R314" t="s">
        <v>83</v>
      </c>
      <c r="S314">
        <v>0.46196860000000001</v>
      </c>
      <c r="T314" t="s">
        <v>157</v>
      </c>
      <c r="U314">
        <v>0.33446821999999998</v>
      </c>
      <c r="V314" t="s">
        <v>159</v>
      </c>
      <c r="W314">
        <v>3.3099752000000003E-2</v>
      </c>
    </row>
    <row r="315" spans="1:23" x14ac:dyDescent="0.25">
      <c r="A315" s="3" t="str">
        <f>HYPERLINK("http://ids.si.edu/ids/deliveryService?id=NMAH-AHB2014q060637","NMAH-AHB2014q060637")</f>
        <v>NMAH-AHB2014q060637</v>
      </c>
      <c r="B315" s="3" t="s">
        <v>1113</v>
      </c>
      <c r="C315" s="3">
        <v>303428</v>
      </c>
      <c r="D315" s="3" t="s">
        <v>797</v>
      </c>
      <c r="E315" s="4" t="s">
        <v>1114</v>
      </c>
      <c r="F315" t="s">
        <v>917</v>
      </c>
      <c r="G315">
        <v>0.92166149616241455</v>
      </c>
      <c r="H315" t="s">
        <v>1115</v>
      </c>
      <c r="I315">
        <v>0.904613196849823</v>
      </c>
      <c r="J315" t="s">
        <v>1116</v>
      </c>
      <c r="K315" s="4">
        <v>0.90151488780975342</v>
      </c>
      <c r="L315" t="s">
        <v>821</v>
      </c>
      <c r="M315">
        <v>0.39188230000000002</v>
      </c>
      <c r="N315" t="s">
        <v>30</v>
      </c>
      <c r="O315">
        <v>0.23772331999999999</v>
      </c>
      <c r="P315" t="s">
        <v>923</v>
      </c>
      <c r="Q315" s="4">
        <v>0.21179592999999999</v>
      </c>
      <c r="R315" t="s">
        <v>30</v>
      </c>
      <c r="S315">
        <v>0.35330242000000001</v>
      </c>
      <c r="T315" t="s">
        <v>821</v>
      </c>
      <c r="U315">
        <v>0.17732645999999999</v>
      </c>
      <c r="V315" t="s">
        <v>923</v>
      </c>
      <c r="W315">
        <v>0.1106275</v>
      </c>
    </row>
    <row r="316" spans="1:23" x14ac:dyDescent="0.25">
      <c r="A316" s="3" t="str">
        <f>HYPERLINK("http://ids.si.edu/ids/deliveryService?id=NMAH-AHB2014q059717-000002","NMAH-AHB2014q059717-000002")</f>
        <v>NMAH-AHB2014q059717-000002</v>
      </c>
      <c r="B316" s="3" t="s">
        <v>1117</v>
      </c>
      <c r="C316" s="3">
        <v>306488</v>
      </c>
      <c r="D316" s="3" t="s">
        <v>797</v>
      </c>
      <c r="E316" s="4" t="s">
        <v>414</v>
      </c>
      <c r="F316" t="s">
        <v>665</v>
      </c>
      <c r="G316">
        <v>0.81518930196762085</v>
      </c>
      <c r="H316" t="s">
        <v>574</v>
      </c>
      <c r="I316">
        <v>0.73550117015838623</v>
      </c>
      <c r="J316" t="s">
        <v>50</v>
      </c>
      <c r="K316" s="4">
        <v>0.60706108808517456</v>
      </c>
      <c r="L316" t="s">
        <v>416</v>
      </c>
      <c r="M316">
        <v>0.56004049999999994</v>
      </c>
      <c r="N316" t="s">
        <v>893</v>
      </c>
      <c r="O316">
        <v>0.21736352</v>
      </c>
      <c r="P316" t="s">
        <v>314</v>
      </c>
      <c r="Q316" s="4">
        <v>8.0209730000000007E-2</v>
      </c>
      <c r="R316" t="s">
        <v>416</v>
      </c>
      <c r="S316">
        <v>0.19460644999999999</v>
      </c>
      <c r="T316" t="s">
        <v>314</v>
      </c>
      <c r="U316">
        <v>0.13077837</v>
      </c>
      <c r="V316" t="s">
        <v>141</v>
      </c>
      <c r="W316">
        <v>3.5266377000000002E-2</v>
      </c>
    </row>
    <row r="317" spans="1:23" x14ac:dyDescent="0.25">
      <c r="A317" s="3" t="str">
        <f>HYPERLINK("http://ids.si.edu/ids/deliveryService?id=NMAH-AHB2017q093990","NMAH-AHB2017q093990")</f>
        <v>NMAH-AHB2017q093990</v>
      </c>
      <c r="B317" s="3" t="s">
        <v>1118</v>
      </c>
      <c r="C317" s="3">
        <v>587855</v>
      </c>
      <c r="D317" s="3" t="s">
        <v>797</v>
      </c>
      <c r="E317" s="4" t="s">
        <v>1119</v>
      </c>
      <c r="F317" t="s">
        <v>188</v>
      </c>
      <c r="G317">
        <v>0.54580080509185791</v>
      </c>
      <c r="L317" t="s">
        <v>303</v>
      </c>
      <c r="M317">
        <v>0.79092943999999998</v>
      </c>
      <c r="N317" t="s">
        <v>829</v>
      </c>
      <c r="O317">
        <v>5.1238856999999999E-2</v>
      </c>
      <c r="P317" t="s">
        <v>801</v>
      </c>
      <c r="Q317" s="4">
        <v>1.6123313E-2</v>
      </c>
      <c r="R317" t="s">
        <v>1120</v>
      </c>
      <c r="S317">
        <v>0.19468899000000001</v>
      </c>
      <c r="T317" t="s">
        <v>303</v>
      </c>
      <c r="U317">
        <v>9.9431759999999994E-2</v>
      </c>
      <c r="V317" t="s">
        <v>903</v>
      </c>
      <c r="W317">
        <v>7.006648E-2</v>
      </c>
    </row>
    <row r="318" spans="1:23" x14ac:dyDescent="0.25">
      <c r="A318" s="3" t="str">
        <f>HYPERLINK("http://ids.si.edu/ids/deliveryService?id=NMAH-ET2016-02513","NMAH-ET2016-02513")</f>
        <v>NMAH-ET2016-02513</v>
      </c>
      <c r="B318" s="3" t="s">
        <v>1121</v>
      </c>
      <c r="C318" s="3">
        <v>1340630</v>
      </c>
      <c r="D318" s="3" t="s">
        <v>797</v>
      </c>
      <c r="E318" s="4" t="s">
        <v>1122</v>
      </c>
      <c r="F318" t="s">
        <v>1123</v>
      </c>
      <c r="G318">
        <v>0.77676767110824585</v>
      </c>
      <c r="H318" t="s">
        <v>1124</v>
      </c>
      <c r="I318">
        <v>0.73766732215881348</v>
      </c>
      <c r="J318" t="s">
        <v>697</v>
      </c>
      <c r="K318" s="4">
        <v>0.70089256763458252</v>
      </c>
      <c r="L318" t="s">
        <v>1013</v>
      </c>
      <c r="M318">
        <v>0.57121</v>
      </c>
      <c r="N318" t="s">
        <v>918</v>
      </c>
      <c r="O318">
        <v>0.25683159999999999</v>
      </c>
      <c r="P318" t="s">
        <v>1023</v>
      </c>
      <c r="Q318" s="4">
        <v>2.4063477E-2</v>
      </c>
      <c r="R318" t="s">
        <v>1013</v>
      </c>
      <c r="S318">
        <v>0.7606383000000001</v>
      </c>
      <c r="T318" t="s">
        <v>918</v>
      </c>
      <c r="U318">
        <v>0.22055364</v>
      </c>
      <c r="V318" t="s">
        <v>1125</v>
      </c>
      <c r="W318">
        <v>4.9204490000000004E-3</v>
      </c>
    </row>
    <row r="319" spans="1:23" x14ac:dyDescent="0.25">
      <c r="A319" s="3" t="str">
        <f>HYPERLINK("http://ids.si.edu/ids/deliveryService?id=NMAH-AHB2014q101780","NMAH-AHB2014q101780")</f>
        <v>NMAH-AHB2014q101780</v>
      </c>
      <c r="B319" s="3" t="s">
        <v>1126</v>
      </c>
      <c r="C319" s="3">
        <v>571707</v>
      </c>
      <c r="D319" s="3" t="s">
        <v>797</v>
      </c>
      <c r="E319" s="4" t="s">
        <v>899</v>
      </c>
      <c r="F319" t="s">
        <v>1127</v>
      </c>
      <c r="G319">
        <v>0.91702228784561157</v>
      </c>
      <c r="H319" t="s">
        <v>799</v>
      </c>
      <c r="I319">
        <v>0.90260905027389526</v>
      </c>
      <c r="J319" t="s">
        <v>497</v>
      </c>
      <c r="K319" s="4">
        <v>0.89624643325805664</v>
      </c>
      <c r="L319" t="s">
        <v>678</v>
      </c>
      <c r="M319">
        <v>0.57691419999999993</v>
      </c>
      <c r="N319" t="s">
        <v>159</v>
      </c>
      <c r="O319">
        <v>0.21453889000000001</v>
      </c>
      <c r="P319" t="s">
        <v>958</v>
      </c>
      <c r="Q319" s="4">
        <v>2.3212022999999998E-2</v>
      </c>
      <c r="R319" t="s">
        <v>71</v>
      </c>
      <c r="S319">
        <v>0.17433546</v>
      </c>
      <c r="T319" t="s">
        <v>159</v>
      </c>
      <c r="U319">
        <v>0.16015170000000001</v>
      </c>
      <c r="V319" t="s">
        <v>678</v>
      </c>
      <c r="W319">
        <v>4.4691656000000003E-2</v>
      </c>
    </row>
    <row r="320" spans="1:23" x14ac:dyDescent="0.25">
      <c r="A320" s="3" t="str">
        <f>HYPERLINK("http://ids.si.edu/ids/deliveryService?id=NMAH-AHB2017q032461","NMAH-AHB2017q032461")</f>
        <v>NMAH-AHB2017q032461</v>
      </c>
      <c r="B320" s="3" t="s">
        <v>1128</v>
      </c>
      <c r="C320" s="3">
        <v>587942</v>
      </c>
      <c r="D320" s="3" t="s">
        <v>797</v>
      </c>
      <c r="E320" s="4" t="s">
        <v>912</v>
      </c>
      <c r="F320" t="s">
        <v>506</v>
      </c>
      <c r="G320">
        <v>0.96235907077789307</v>
      </c>
      <c r="H320" t="s">
        <v>1129</v>
      </c>
      <c r="I320">
        <v>0.96128296852111816</v>
      </c>
      <c r="J320" t="s">
        <v>1130</v>
      </c>
      <c r="K320" s="4">
        <v>0.94270551204681396</v>
      </c>
      <c r="L320" t="s">
        <v>1131</v>
      </c>
      <c r="M320">
        <v>0.53618209999999999</v>
      </c>
      <c r="N320" t="s">
        <v>1132</v>
      </c>
      <c r="O320">
        <v>0.31077506999999999</v>
      </c>
      <c r="P320" t="s">
        <v>1133</v>
      </c>
      <c r="Q320" s="4">
        <v>4.994229E-2</v>
      </c>
      <c r="R320" t="s">
        <v>1134</v>
      </c>
      <c r="S320">
        <v>0.27500545999999998</v>
      </c>
      <c r="T320" t="s">
        <v>1135</v>
      </c>
      <c r="U320">
        <v>0.25483086999999999</v>
      </c>
      <c r="V320" t="s">
        <v>1132</v>
      </c>
      <c r="W320">
        <v>4.4808651999999997E-2</v>
      </c>
    </row>
    <row r="321" spans="1:23" x14ac:dyDescent="0.25">
      <c r="A321" s="3" t="str">
        <f>HYPERLINK("http://ids.si.edu/ids/deliveryService?id=NMAH-AHB2014q059872-000001","NMAH-AHB2014q059872-000001")</f>
        <v>NMAH-AHB2014q059872-000001</v>
      </c>
      <c r="B321" s="3" t="s">
        <v>1136</v>
      </c>
      <c r="C321" s="3">
        <v>300045</v>
      </c>
      <c r="D321" s="3" t="s">
        <v>797</v>
      </c>
      <c r="E321" s="4" t="s">
        <v>1137</v>
      </c>
      <c r="F321" t="s">
        <v>917</v>
      </c>
      <c r="G321">
        <v>0.89067345857620239</v>
      </c>
      <c r="H321" t="s">
        <v>1116</v>
      </c>
      <c r="I321">
        <v>0.78880292177200317</v>
      </c>
      <c r="J321" t="s">
        <v>809</v>
      </c>
      <c r="K321" s="4">
        <v>0.77089381217956543</v>
      </c>
      <c r="L321" t="s">
        <v>30</v>
      </c>
      <c r="M321">
        <v>0.66005970000000003</v>
      </c>
      <c r="N321" t="s">
        <v>821</v>
      </c>
      <c r="O321">
        <v>0.22088408000000001</v>
      </c>
      <c r="P321" t="s">
        <v>923</v>
      </c>
      <c r="Q321" s="4">
        <v>5.6947685999999997E-2</v>
      </c>
      <c r="R321" t="s">
        <v>30</v>
      </c>
      <c r="S321">
        <v>0.36429739999999999</v>
      </c>
      <c r="T321" t="s">
        <v>821</v>
      </c>
      <c r="U321">
        <v>0.12841068</v>
      </c>
      <c r="V321" t="s">
        <v>853</v>
      </c>
      <c r="W321">
        <v>9.6899509999999994E-2</v>
      </c>
    </row>
    <row r="322" spans="1:23" x14ac:dyDescent="0.25">
      <c r="A322" s="3" t="str">
        <f>HYPERLINK("http://ids.si.edu/ids/deliveryService?id=NMAH-AHB2017q001305","NMAH-AHB2017q001305")</f>
        <v>NMAH-AHB2017q001305</v>
      </c>
      <c r="B322" s="3" t="s">
        <v>1138</v>
      </c>
      <c r="C322" s="3">
        <v>336032</v>
      </c>
      <c r="D322" s="3" t="s">
        <v>797</v>
      </c>
      <c r="E322" s="4" t="s">
        <v>1139</v>
      </c>
      <c r="F322" t="s">
        <v>1140</v>
      </c>
      <c r="G322">
        <v>0.99616271257400513</v>
      </c>
      <c r="H322" t="s">
        <v>281</v>
      </c>
      <c r="I322">
        <v>0.9903031587600708</v>
      </c>
      <c r="J322" t="s">
        <v>1141</v>
      </c>
      <c r="K322" s="4">
        <v>0.92606425285339355</v>
      </c>
      <c r="L322" t="s">
        <v>600</v>
      </c>
      <c r="M322">
        <v>0.30777650000000001</v>
      </c>
      <c r="N322" t="s">
        <v>1142</v>
      </c>
      <c r="O322">
        <v>0.10927823</v>
      </c>
      <c r="P322" t="s">
        <v>1143</v>
      </c>
      <c r="Q322" s="4">
        <v>7.7364859999999994E-2</v>
      </c>
      <c r="R322" t="s">
        <v>1144</v>
      </c>
      <c r="S322">
        <v>0.19435751000000001</v>
      </c>
      <c r="T322" t="s">
        <v>600</v>
      </c>
      <c r="U322">
        <v>0.12557656</v>
      </c>
      <c r="V322" t="s">
        <v>1145</v>
      </c>
      <c r="W322">
        <v>8.9938080000000004E-2</v>
      </c>
    </row>
    <row r="323" spans="1:23" x14ac:dyDescent="0.25">
      <c r="A323" s="3" t="str">
        <f>HYPERLINK("http://ids.si.edu/ids/deliveryService?id=NMAH-AHB2013q098441","NMAH-AHB2013q098441")</f>
        <v>NMAH-AHB2013q098441</v>
      </c>
      <c r="B323" s="3" t="s">
        <v>1146</v>
      </c>
      <c r="C323" s="3">
        <v>1451542</v>
      </c>
      <c r="D323" s="3" t="s">
        <v>797</v>
      </c>
      <c r="E323" s="4" t="s">
        <v>826</v>
      </c>
      <c r="F323" t="s">
        <v>292</v>
      </c>
      <c r="G323">
        <v>0.92450851202011108</v>
      </c>
      <c r="H323" t="s">
        <v>1147</v>
      </c>
      <c r="I323">
        <v>0.72389370203018188</v>
      </c>
      <c r="J323" t="s">
        <v>582</v>
      </c>
      <c r="K323" s="4">
        <v>0.71527290344238281</v>
      </c>
      <c r="L323" t="s">
        <v>1084</v>
      </c>
      <c r="M323">
        <v>0.76615787000000002</v>
      </c>
      <c r="N323" t="s">
        <v>829</v>
      </c>
      <c r="O323">
        <v>7.4657669999999995E-2</v>
      </c>
      <c r="P323" t="s">
        <v>477</v>
      </c>
      <c r="Q323" s="4">
        <v>5.7855163000000001E-2</v>
      </c>
      <c r="R323" t="s">
        <v>185</v>
      </c>
      <c r="S323">
        <v>0.29654786</v>
      </c>
      <c r="T323" t="s">
        <v>151</v>
      </c>
      <c r="U323">
        <v>9.0693460000000004E-2</v>
      </c>
      <c r="V323" t="s">
        <v>1084</v>
      </c>
      <c r="W323">
        <v>8.8358439999999996E-2</v>
      </c>
    </row>
    <row r="324" spans="1:23" x14ac:dyDescent="0.25">
      <c r="A324" s="3" t="str">
        <f>HYPERLINK("http://ids.si.edu/ids/deliveryService?id=NMAH-AHB2014q054068","NMAH-AHB2014q054068")</f>
        <v>NMAH-AHB2014q054068</v>
      </c>
      <c r="B324" s="3" t="s">
        <v>1148</v>
      </c>
      <c r="C324" s="3">
        <v>310675</v>
      </c>
      <c r="D324" s="3" t="s">
        <v>797</v>
      </c>
      <c r="E324" s="4" t="s">
        <v>1149</v>
      </c>
      <c r="F324" t="s">
        <v>91</v>
      </c>
      <c r="G324">
        <v>0.94139593839645386</v>
      </c>
      <c r="H324" t="s">
        <v>1150</v>
      </c>
      <c r="I324">
        <v>0.80401414632797241</v>
      </c>
      <c r="J324" t="s">
        <v>800</v>
      </c>
      <c r="K324" s="4">
        <v>0.50281727313995361</v>
      </c>
      <c r="L324" t="s">
        <v>213</v>
      </c>
      <c r="M324">
        <v>0.19692102</v>
      </c>
      <c r="N324" t="s">
        <v>239</v>
      </c>
      <c r="O324">
        <v>6.2218809999999999E-2</v>
      </c>
      <c r="P324" t="s">
        <v>303</v>
      </c>
      <c r="Q324" s="4">
        <v>6.107841E-2</v>
      </c>
      <c r="R324" t="s">
        <v>95</v>
      </c>
      <c r="S324">
        <v>9.0619749999999999E-2</v>
      </c>
      <c r="T324" t="s">
        <v>152</v>
      </c>
      <c r="U324">
        <v>6.3480960000000003E-2</v>
      </c>
      <c r="V324" t="s">
        <v>1151</v>
      </c>
      <c r="W324">
        <v>6.0049940000000003E-2</v>
      </c>
    </row>
    <row r="325" spans="1:23" x14ac:dyDescent="0.25">
      <c r="A325" s="3" t="str">
        <f>HYPERLINK("http://ids.si.edu/ids/deliveryService?id=NMAH-AHB2014q054719","NMAH-AHB2014q054719")</f>
        <v>NMAH-AHB2014q054719</v>
      </c>
      <c r="B325" s="3" t="s">
        <v>1152</v>
      </c>
      <c r="C325" s="3">
        <v>309579</v>
      </c>
      <c r="D325" s="3" t="s">
        <v>797</v>
      </c>
      <c r="E325" s="4" t="s">
        <v>1061</v>
      </c>
      <c r="F325" t="s">
        <v>1153</v>
      </c>
      <c r="G325">
        <v>0.68143260478973389</v>
      </c>
      <c r="L325" t="s">
        <v>443</v>
      </c>
      <c r="M325">
        <v>0.35031200000000001</v>
      </c>
      <c r="N325" t="s">
        <v>689</v>
      </c>
      <c r="O325">
        <v>0.30505927999999999</v>
      </c>
      <c r="P325" t="s">
        <v>51</v>
      </c>
      <c r="Q325" s="4">
        <v>0.1382564</v>
      </c>
      <c r="R325" t="s">
        <v>689</v>
      </c>
      <c r="S325">
        <v>0.24767648</v>
      </c>
      <c r="T325" t="s">
        <v>443</v>
      </c>
      <c r="U325">
        <v>0.14505071999999999</v>
      </c>
      <c r="V325" t="s">
        <v>303</v>
      </c>
      <c r="W325">
        <v>5.4789459999999998E-2</v>
      </c>
    </row>
    <row r="326" spans="1:23" x14ac:dyDescent="0.25">
      <c r="A326" s="3" t="str">
        <f>HYPERLINK("http://ids.si.edu/ids/deliveryService?id=NMAH-AHB2014q055487","NMAH-AHB2014q055487")</f>
        <v>NMAH-AHB2014q055487</v>
      </c>
      <c r="B326" s="3" t="s">
        <v>1154</v>
      </c>
      <c r="C326" s="3">
        <v>311380</v>
      </c>
      <c r="D326" s="3" t="s">
        <v>797</v>
      </c>
      <c r="E326" s="4" t="s">
        <v>1155</v>
      </c>
      <c r="F326" t="s">
        <v>91</v>
      </c>
      <c r="G326">
        <v>0.88283330202102661</v>
      </c>
      <c r="H326" t="s">
        <v>179</v>
      </c>
      <c r="I326">
        <v>0.74607264995574951</v>
      </c>
      <c r="J326" t="s">
        <v>147</v>
      </c>
      <c r="K326" s="4">
        <v>0.73181211948394775</v>
      </c>
      <c r="L326" t="s">
        <v>673</v>
      </c>
      <c r="M326">
        <v>0.64123390000000002</v>
      </c>
      <c r="N326" t="s">
        <v>1099</v>
      </c>
      <c r="O326">
        <v>9.5796800000000001E-2</v>
      </c>
      <c r="P326" t="s">
        <v>184</v>
      </c>
      <c r="Q326" s="4">
        <v>4.5805838000000001E-2</v>
      </c>
      <c r="R326" t="s">
        <v>184</v>
      </c>
      <c r="S326">
        <v>0.32675910000000002</v>
      </c>
      <c r="T326" t="s">
        <v>93</v>
      </c>
      <c r="U326">
        <v>0.27963315999999999</v>
      </c>
      <c r="V326" t="s">
        <v>673</v>
      </c>
      <c r="W326">
        <v>7.9222589999999996E-2</v>
      </c>
    </row>
    <row r="327" spans="1:23" x14ac:dyDescent="0.25">
      <c r="A327" s="3" t="str">
        <f>HYPERLINK("http://ids.si.edu/ids/deliveryService?id=NMAH-AHB2013q097779","NMAH-AHB2013q097779")</f>
        <v>NMAH-AHB2013q097779</v>
      </c>
      <c r="B327" s="3" t="s">
        <v>1156</v>
      </c>
      <c r="C327" s="3">
        <v>1451458</v>
      </c>
      <c r="D327" s="3" t="s">
        <v>797</v>
      </c>
      <c r="E327" s="4" t="s">
        <v>826</v>
      </c>
      <c r="F327" t="s">
        <v>188</v>
      </c>
      <c r="G327">
        <v>0.73226195573806763</v>
      </c>
      <c r="H327" t="s">
        <v>947</v>
      </c>
      <c r="I327">
        <v>0.61819612979888916</v>
      </c>
      <c r="L327" t="s">
        <v>888</v>
      </c>
      <c r="M327">
        <v>0.25771235999999997</v>
      </c>
      <c r="N327" t="s">
        <v>1093</v>
      </c>
      <c r="O327">
        <v>0.22517635</v>
      </c>
      <c r="P327" t="s">
        <v>813</v>
      </c>
      <c r="Q327" s="4">
        <v>6.7859160000000002E-2</v>
      </c>
      <c r="R327" t="s">
        <v>159</v>
      </c>
      <c r="S327">
        <v>0.33175992999999998</v>
      </c>
      <c r="T327" t="s">
        <v>888</v>
      </c>
      <c r="U327">
        <v>0.10586366</v>
      </c>
      <c r="V327" t="s">
        <v>1084</v>
      </c>
      <c r="W327">
        <v>6.763653E-2</v>
      </c>
    </row>
    <row r="328" spans="1:23" x14ac:dyDescent="0.25">
      <c r="A328" s="3" t="str">
        <f>HYPERLINK("http://ids.si.edu/ids/deliveryService?id=NMAH-AHB2014q060784","NMAH-AHB2014q060784")</f>
        <v>NMAH-AHB2014q060784</v>
      </c>
      <c r="B328" s="3" t="s">
        <v>1157</v>
      </c>
      <c r="C328" s="3">
        <v>301007</v>
      </c>
      <c r="D328" s="3" t="s">
        <v>797</v>
      </c>
      <c r="E328" s="4" t="s">
        <v>1114</v>
      </c>
      <c r="F328" t="s">
        <v>917</v>
      </c>
      <c r="G328">
        <v>0.8649979829788208</v>
      </c>
      <c r="H328" t="s">
        <v>928</v>
      </c>
      <c r="I328">
        <v>0.86112767457962036</v>
      </c>
      <c r="J328" t="s">
        <v>929</v>
      </c>
      <c r="K328" s="4">
        <v>0.76376020908355713</v>
      </c>
      <c r="L328" t="s">
        <v>923</v>
      </c>
      <c r="M328">
        <v>0.18467088000000001</v>
      </c>
      <c r="N328" t="s">
        <v>364</v>
      </c>
      <c r="O328">
        <v>0.16723416999999999</v>
      </c>
      <c r="P328" t="s">
        <v>1158</v>
      </c>
      <c r="Q328" s="4">
        <v>0.11788744499999999</v>
      </c>
      <c r="R328" t="s">
        <v>365</v>
      </c>
      <c r="S328">
        <v>0.17739515</v>
      </c>
      <c r="T328" t="s">
        <v>30</v>
      </c>
      <c r="U328">
        <v>0.17273981999999999</v>
      </c>
      <c r="V328" t="s">
        <v>923</v>
      </c>
      <c r="W328">
        <v>0.11539404</v>
      </c>
    </row>
    <row r="329" spans="1:23" x14ac:dyDescent="0.25">
      <c r="A329" s="3" t="str">
        <f>HYPERLINK("http://ids.si.edu/ids/deliveryService?id=NMAH-ET2013-15693","NMAH-ET2013-15693")</f>
        <v>NMAH-ET2013-15693</v>
      </c>
      <c r="B329" s="3" t="s">
        <v>1159</v>
      </c>
      <c r="C329" s="3">
        <v>574964</v>
      </c>
      <c r="D329" s="3" t="s">
        <v>797</v>
      </c>
      <c r="E329" s="4" t="s">
        <v>853</v>
      </c>
      <c r="F329" t="s">
        <v>854</v>
      </c>
      <c r="G329">
        <v>0.98552072048187256</v>
      </c>
      <c r="H329" t="s">
        <v>846</v>
      </c>
      <c r="I329">
        <v>0.93608552217483521</v>
      </c>
      <c r="J329" t="s">
        <v>856</v>
      </c>
      <c r="K329" s="4">
        <v>0.92787754535675049</v>
      </c>
      <c r="L329" t="s">
        <v>853</v>
      </c>
      <c r="M329">
        <v>0.99684189999999995</v>
      </c>
      <c r="N329" t="s">
        <v>857</v>
      </c>
      <c r="O329">
        <v>1.7882193000000001E-3</v>
      </c>
      <c r="P329" t="s">
        <v>30</v>
      </c>
      <c r="Q329" s="4">
        <v>7.0394270000000007E-4</v>
      </c>
      <c r="R329" t="s">
        <v>853</v>
      </c>
      <c r="S329">
        <v>0.96009500000000003</v>
      </c>
      <c r="T329" t="s">
        <v>857</v>
      </c>
      <c r="U329">
        <v>1.7017918E-2</v>
      </c>
      <c r="V329" t="s">
        <v>30</v>
      </c>
      <c r="W329">
        <v>1.2426447E-2</v>
      </c>
    </row>
    <row r="330" spans="1:23" x14ac:dyDescent="0.25">
      <c r="A330" s="3" t="str">
        <f>HYPERLINK("http://ids.si.edu/ids/deliveryService?id=NMAH-AHB2016q054027","NMAH-AHB2016q054027")</f>
        <v>NMAH-AHB2016q054027</v>
      </c>
      <c r="B330" s="3" t="s">
        <v>1160</v>
      </c>
      <c r="C330" s="3">
        <v>1288296</v>
      </c>
      <c r="D330" s="3" t="s">
        <v>797</v>
      </c>
      <c r="E330" s="4" t="s">
        <v>1161</v>
      </c>
      <c r="F330" t="s">
        <v>1162</v>
      </c>
      <c r="G330">
        <v>0.96089118719100952</v>
      </c>
      <c r="H330" t="s">
        <v>91</v>
      </c>
      <c r="I330">
        <v>0.91031128168106079</v>
      </c>
      <c r="J330" t="s">
        <v>574</v>
      </c>
      <c r="K330" s="4">
        <v>0.90632766485214233</v>
      </c>
      <c r="L330" t="s">
        <v>113</v>
      </c>
      <c r="M330">
        <v>0.81623447000000005</v>
      </c>
      <c r="N330" t="s">
        <v>1163</v>
      </c>
      <c r="O330">
        <v>0.13098955000000001</v>
      </c>
      <c r="P330" t="s">
        <v>893</v>
      </c>
      <c r="Q330" s="4">
        <v>2.0352869999999999E-2</v>
      </c>
      <c r="R330" t="s">
        <v>363</v>
      </c>
      <c r="S330">
        <v>0.13165115999999999</v>
      </c>
      <c r="T330" t="s">
        <v>365</v>
      </c>
      <c r="U330">
        <v>0.105109155</v>
      </c>
      <c r="V330" t="s">
        <v>113</v>
      </c>
      <c r="W330">
        <v>7.5465050000000006E-2</v>
      </c>
    </row>
    <row r="331" spans="1:23" x14ac:dyDescent="0.25">
      <c r="A331" s="3" t="str">
        <f>HYPERLINK("http://ids.si.edu/ids/deliveryService?id=NMAH-AHB2014q059470","NMAH-AHB2014q059470")</f>
        <v>NMAH-AHB2014q059470</v>
      </c>
      <c r="B331" s="3" t="s">
        <v>1164</v>
      </c>
      <c r="C331" s="3">
        <v>300917</v>
      </c>
      <c r="D331" s="3" t="s">
        <v>797</v>
      </c>
      <c r="E331" s="4" t="s">
        <v>1165</v>
      </c>
      <c r="F331" t="s">
        <v>574</v>
      </c>
      <c r="G331">
        <v>0.80058467388153076</v>
      </c>
      <c r="H331" t="s">
        <v>50</v>
      </c>
      <c r="I331">
        <v>0.6591346263885498</v>
      </c>
      <c r="J331" t="s">
        <v>188</v>
      </c>
      <c r="K331" s="4">
        <v>0.62983417510986328</v>
      </c>
      <c r="L331" t="s">
        <v>185</v>
      </c>
      <c r="M331">
        <v>0.21441978</v>
      </c>
      <c r="N331" t="s">
        <v>97</v>
      </c>
      <c r="O331">
        <v>7.1629219999999993E-2</v>
      </c>
      <c r="P331" t="s">
        <v>209</v>
      </c>
      <c r="Q331" s="4">
        <v>5.2228405999999998E-2</v>
      </c>
      <c r="R331" t="s">
        <v>976</v>
      </c>
      <c r="S331">
        <v>0.25677216000000003</v>
      </c>
      <c r="T331" t="s">
        <v>813</v>
      </c>
      <c r="U331">
        <v>0.21102335</v>
      </c>
      <c r="V331" t="s">
        <v>749</v>
      </c>
      <c r="W331">
        <v>3.8242888000000003E-2</v>
      </c>
    </row>
    <row r="332" spans="1:23" x14ac:dyDescent="0.25">
      <c r="A332" s="3" t="str">
        <f>HYPERLINK("http://ids.si.edu/ids/deliveryService?id=NMAH-AHB2017q046093","NMAH-AHB2017q046093")</f>
        <v>NMAH-AHB2017q046093</v>
      </c>
      <c r="B332" s="3" t="s">
        <v>1166</v>
      </c>
      <c r="C332" s="3">
        <v>643</v>
      </c>
      <c r="D332" s="3" t="s">
        <v>1167</v>
      </c>
      <c r="E332" s="4" t="s">
        <v>30</v>
      </c>
      <c r="F332" t="s">
        <v>837</v>
      </c>
      <c r="G332">
        <v>0.86903965473175049</v>
      </c>
      <c r="H332" t="s">
        <v>921</v>
      </c>
      <c r="I332">
        <v>0.75317603349685669</v>
      </c>
      <c r="J332" t="s">
        <v>917</v>
      </c>
      <c r="K332" s="4">
        <v>0.74059939384460449</v>
      </c>
      <c r="L332" t="s">
        <v>30</v>
      </c>
      <c r="M332">
        <v>0.31392209999999998</v>
      </c>
      <c r="N332" t="s">
        <v>213</v>
      </c>
      <c r="O332">
        <v>0.28822940000000002</v>
      </c>
      <c r="P332" t="s">
        <v>1168</v>
      </c>
      <c r="Q332" s="4">
        <v>9.4687975999999993E-2</v>
      </c>
      <c r="R332" t="s">
        <v>1013</v>
      </c>
      <c r="S332">
        <v>0.21049783</v>
      </c>
      <c r="T332" t="s">
        <v>848</v>
      </c>
      <c r="U332">
        <v>0.20608220999999999</v>
      </c>
      <c r="V332" t="s">
        <v>213</v>
      </c>
      <c r="W332">
        <v>0.19450440999999999</v>
      </c>
    </row>
    <row r="333" spans="1:23" x14ac:dyDescent="0.25">
      <c r="A333" s="3" t="str">
        <f>HYPERLINK("http://ids.si.edu/ids/deliveryService?id=NMAH-AHB2013q070222","NMAH-AHB2013q070222")</f>
        <v>NMAH-AHB2013q070222</v>
      </c>
      <c r="B333" s="3" t="s">
        <v>1169</v>
      </c>
      <c r="C333" s="3">
        <v>1346551</v>
      </c>
      <c r="D333" s="3" t="s">
        <v>1167</v>
      </c>
      <c r="E333" s="4" t="s">
        <v>1170</v>
      </c>
      <c r="F333" t="s">
        <v>91</v>
      </c>
      <c r="G333">
        <v>0.91031128168106079</v>
      </c>
      <c r="H333" t="s">
        <v>815</v>
      </c>
      <c r="I333">
        <v>0.80103355646133423</v>
      </c>
      <c r="J333" t="s">
        <v>1171</v>
      </c>
      <c r="K333" s="4">
        <v>0.75102299451828003</v>
      </c>
      <c r="L333" t="s">
        <v>82</v>
      </c>
      <c r="M333">
        <v>0.99102500000000004</v>
      </c>
      <c r="N333" t="s">
        <v>495</v>
      </c>
      <c r="O333">
        <v>4.5866170000000003E-3</v>
      </c>
      <c r="P333" t="s">
        <v>84</v>
      </c>
      <c r="Q333" s="4">
        <v>2.1311757000000001E-3</v>
      </c>
      <c r="R333" t="s">
        <v>82</v>
      </c>
      <c r="S333">
        <v>0.57399809999999996</v>
      </c>
      <c r="T333" t="s">
        <v>159</v>
      </c>
      <c r="U333">
        <v>0.10836045399999999</v>
      </c>
      <c r="V333" t="s">
        <v>83</v>
      </c>
      <c r="W333">
        <v>6.6977030000000007E-2</v>
      </c>
    </row>
    <row r="334" spans="1:23" x14ac:dyDescent="0.25">
      <c r="A334" s="3" t="str">
        <f>HYPERLINK("http://ids.si.edu/ids/deliveryService?id=NMAH-AHB2012q61860","NMAH-AHB2012q61860")</f>
        <v>NMAH-AHB2012q61860</v>
      </c>
      <c r="B334" s="3" t="s">
        <v>1172</v>
      </c>
      <c r="C334" s="3">
        <v>715800</v>
      </c>
      <c r="D334" s="3" t="s">
        <v>1167</v>
      </c>
      <c r="E334" s="4" t="s">
        <v>1173</v>
      </c>
      <c r="F334" t="s">
        <v>91</v>
      </c>
      <c r="G334">
        <v>0.88283330202102661</v>
      </c>
      <c r="H334" t="s">
        <v>1174</v>
      </c>
      <c r="I334">
        <v>0.68254715204238892</v>
      </c>
      <c r="J334" t="s">
        <v>1175</v>
      </c>
      <c r="K334" s="4">
        <v>0.5532914400100708</v>
      </c>
      <c r="L334" t="s">
        <v>1023</v>
      </c>
      <c r="M334">
        <v>0.32961955999999998</v>
      </c>
      <c r="N334" t="s">
        <v>184</v>
      </c>
      <c r="O334">
        <v>0.13666814999999999</v>
      </c>
      <c r="P334" t="s">
        <v>209</v>
      </c>
      <c r="Q334" s="4">
        <v>5.1232229999999997E-2</v>
      </c>
      <c r="R334" t="s">
        <v>363</v>
      </c>
      <c r="S334">
        <v>0.78013009999999994</v>
      </c>
      <c r="T334" t="s">
        <v>225</v>
      </c>
      <c r="U334">
        <v>7.4185929999999997E-2</v>
      </c>
      <c r="V334" t="s">
        <v>627</v>
      </c>
      <c r="W334">
        <v>2.8084801999999999E-2</v>
      </c>
    </row>
    <row r="335" spans="1:23" x14ac:dyDescent="0.25">
      <c r="A335" s="3" t="str">
        <f>HYPERLINK("http://ids.si.edu/ids/deliveryService?id=NMAH-AHB2017q062367","NMAH-AHB2017q062367")</f>
        <v>NMAH-AHB2017q062367</v>
      </c>
      <c r="B335" s="3" t="s">
        <v>1177</v>
      </c>
      <c r="C335" s="3">
        <v>1664</v>
      </c>
      <c r="D335" s="3" t="s">
        <v>1167</v>
      </c>
      <c r="E335" s="4" t="s">
        <v>1178</v>
      </c>
      <c r="F335" t="s">
        <v>91</v>
      </c>
      <c r="G335">
        <v>0.88283330202102661</v>
      </c>
      <c r="H335" t="s">
        <v>50</v>
      </c>
      <c r="I335">
        <v>0.69359874725341797</v>
      </c>
      <c r="J335" t="s">
        <v>49</v>
      </c>
      <c r="K335" s="4">
        <v>0.65799474716186523</v>
      </c>
      <c r="L335" t="s">
        <v>213</v>
      </c>
      <c r="M335">
        <v>0.15703</v>
      </c>
      <c r="N335" t="s">
        <v>365</v>
      </c>
      <c r="O335">
        <v>9.8796369999999994E-2</v>
      </c>
      <c r="P335" t="s">
        <v>1013</v>
      </c>
      <c r="Q335" s="4">
        <v>5.1755204999999999E-2</v>
      </c>
      <c r="R335" t="s">
        <v>689</v>
      </c>
      <c r="S335">
        <v>0.15145183000000001</v>
      </c>
      <c r="T335" t="s">
        <v>365</v>
      </c>
      <c r="U335">
        <v>8.9709819999999996E-2</v>
      </c>
      <c r="V335" t="s">
        <v>93</v>
      </c>
      <c r="W335">
        <v>6.2683600000000006E-2</v>
      </c>
    </row>
    <row r="336" spans="1:23" x14ac:dyDescent="0.25">
      <c r="A336" s="3" t="str">
        <f>HYPERLINK("http://ids.si.edu/ids/deliveryService?id=NMAH-AHB2017q046050","NMAH-AHB2017q046050")</f>
        <v>NMAH-AHB2017q046050</v>
      </c>
      <c r="B336" s="3" t="s">
        <v>1179</v>
      </c>
      <c r="C336" s="3">
        <v>1704</v>
      </c>
      <c r="D336" s="3" t="s">
        <v>1167</v>
      </c>
      <c r="E336" s="4" t="s">
        <v>1180</v>
      </c>
      <c r="F336" t="s">
        <v>49</v>
      </c>
      <c r="G336">
        <v>0.94261407852172852</v>
      </c>
      <c r="H336" t="s">
        <v>50</v>
      </c>
      <c r="I336">
        <v>0.93600380420684814</v>
      </c>
      <c r="J336" t="s">
        <v>415</v>
      </c>
      <c r="K336" s="4">
        <v>0.74074125289916992</v>
      </c>
      <c r="L336" t="s">
        <v>364</v>
      </c>
      <c r="M336">
        <v>0.21905160000000001</v>
      </c>
      <c r="N336" t="s">
        <v>1168</v>
      </c>
      <c r="O336">
        <v>0.20374769000000001</v>
      </c>
      <c r="P336" t="s">
        <v>984</v>
      </c>
      <c r="Q336" s="4">
        <v>0.14116785000000001</v>
      </c>
      <c r="R336" t="s">
        <v>1168</v>
      </c>
      <c r="S336">
        <v>0.25173524000000003</v>
      </c>
      <c r="T336" t="s">
        <v>364</v>
      </c>
      <c r="U336">
        <v>0.17737395</v>
      </c>
      <c r="V336" t="s">
        <v>689</v>
      </c>
      <c r="W336">
        <v>0.1190997</v>
      </c>
    </row>
    <row r="337" spans="1:23" x14ac:dyDescent="0.25">
      <c r="A337" s="3" t="str">
        <f>HYPERLINK("http://ids.si.edu/ids/deliveryService?id=NMAH-AHB2017q048125","NMAH-AHB2017q048125")</f>
        <v>NMAH-AHB2017q048125</v>
      </c>
      <c r="B337" s="3" t="s">
        <v>1181</v>
      </c>
      <c r="C337" s="3">
        <v>1187597</v>
      </c>
      <c r="D337" s="3" t="s">
        <v>1167</v>
      </c>
      <c r="E337" s="4" t="s">
        <v>1182</v>
      </c>
      <c r="F337" t="s">
        <v>301</v>
      </c>
      <c r="G337">
        <v>0.84830743074417114</v>
      </c>
      <c r="H337" t="s">
        <v>265</v>
      </c>
      <c r="I337">
        <v>0.75286102294921875</v>
      </c>
      <c r="J337" t="s">
        <v>1183</v>
      </c>
      <c r="K337" s="4">
        <v>0.69935309886932373</v>
      </c>
      <c r="L337" t="s">
        <v>66</v>
      </c>
      <c r="M337">
        <v>0.18183579</v>
      </c>
      <c r="N337" t="s">
        <v>65</v>
      </c>
      <c r="O337">
        <v>7.1993779999999993E-2</v>
      </c>
      <c r="P337" t="s">
        <v>1184</v>
      </c>
      <c r="Q337" s="4">
        <v>4.0072219999999999E-2</v>
      </c>
      <c r="R337" t="s">
        <v>183</v>
      </c>
      <c r="S337">
        <v>0.14335709999999999</v>
      </c>
      <c r="T337" t="s">
        <v>29</v>
      </c>
      <c r="U337">
        <v>8.2603770000000007E-2</v>
      </c>
      <c r="V337" t="s">
        <v>369</v>
      </c>
      <c r="W337">
        <v>5.7602390000000003E-2</v>
      </c>
    </row>
    <row r="338" spans="1:23" x14ac:dyDescent="0.25">
      <c r="A338" s="3" t="str">
        <f>HYPERLINK("http://ids.si.edu/ids/deliveryService?id=NMAH-AHB2012q63706","NMAH-AHB2012q63706")</f>
        <v>NMAH-AHB2012q63706</v>
      </c>
      <c r="B338" s="3" t="s">
        <v>1185</v>
      </c>
      <c r="C338" s="3">
        <v>210076</v>
      </c>
      <c r="D338" s="3" t="s">
        <v>1167</v>
      </c>
      <c r="E338" s="4" t="s">
        <v>1186</v>
      </c>
      <c r="F338" t="s">
        <v>91</v>
      </c>
      <c r="G338">
        <v>0.96393543481826782</v>
      </c>
      <c r="H338" t="s">
        <v>1187</v>
      </c>
      <c r="I338">
        <v>0.80144083499908447</v>
      </c>
      <c r="J338" t="s">
        <v>1188</v>
      </c>
      <c r="K338" s="4">
        <v>0.76093226671218872</v>
      </c>
      <c r="L338" t="s">
        <v>363</v>
      </c>
      <c r="M338">
        <v>0.65272134999999998</v>
      </c>
      <c r="N338" t="s">
        <v>365</v>
      </c>
      <c r="O338">
        <v>8.8948769999999996E-2</v>
      </c>
      <c r="P338" t="s">
        <v>362</v>
      </c>
      <c r="Q338" s="4">
        <v>8.4666290000000005E-2</v>
      </c>
      <c r="R338" t="s">
        <v>363</v>
      </c>
      <c r="S338">
        <v>7.6646216000000003E-2</v>
      </c>
      <c r="T338" t="s">
        <v>66</v>
      </c>
      <c r="U338">
        <v>6.7598804999999998E-2</v>
      </c>
      <c r="V338" t="s">
        <v>1099</v>
      </c>
      <c r="W338">
        <v>6.4490969999999995E-2</v>
      </c>
    </row>
    <row r="339" spans="1:23" x14ac:dyDescent="0.25">
      <c r="A339" s="3" t="str">
        <f>HYPERLINK("http://ids.si.edu/ids/deliveryService?id=NMAH-AHB2013q077026","NMAH-AHB2013q077026")</f>
        <v>NMAH-AHB2013q077026</v>
      </c>
      <c r="B339" s="3" t="s">
        <v>1189</v>
      </c>
      <c r="C339" s="3">
        <v>1291750</v>
      </c>
      <c r="D339" s="3" t="s">
        <v>1167</v>
      </c>
      <c r="E339" s="4" t="s">
        <v>1190</v>
      </c>
      <c r="F339" t="s">
        <v>91</v>
      </c>
      <c r="G339">
        <v>0.88283330202102661</v>
      </c>
      <c r="H339" t="s">
        <v>1191</v>
      </c>
      <c r="I339">
        <v>0.8360481858253479</v>
      </c>
      <c r="L339" t="s">
        <v>363</v>
      </c>
      <c r="M339">
        <v>0.62289700000000003</v>
      </c>
      <c r="N339" t="s">
        <v>312</v>
      </c>
      <c r="O339">
        <v>7.4745394000000007E-2</v>
      </c>
      <c r="P339" t="s">
        <v>627</v>
      </c>
      <c r="Q339" s="4">
        <v>4.6601452000000002E-2</v>
      </c>
      <c r="R339" t="s">
        <v>363</v>
      </c>
      <c r="S339">
        <v>0.22095165</v>
      </c>
      <c r="T339" t="s">
        <v>627</v>
      </c>
      <c r="U339">
        <v>0.10660447000000001</v>
      </c>
      <c r="V339" t="s">
        <v>312</v>
      </c>
      <c r="W339">
        <v>0.10411810000000001</v>
      </c>
    </row>
    <row r="340" spans="1:23" x14ac:dyDescent="0.25">
      <c r="A340" s="3" t="str">
        <f>HYPERLINK("http://ids.si.edu/ids/deliveryService?id=NMAH-AHB2017q062980","NMAH-AHB2017q062980")</f>
        <v>NMAH-AHB2017q062980</v>
      </c>
      <c r="B340" s="3" t="s">
        <v>1192</v>
      </c>
      <c r="C340" s="3">
        <v>2319</v>
      </c>
      <c r="D340" s="3" t="s">
        <v>1167</v>
      </c>
      <c r="E340" s="4" t="s">
        <v>1193</v>
      </c>
      <c r="F340" t="s">
        <v>38</v>
      </c>
      <c r="G340">
        <v>0.620880126953125</v>
      </c>
      <c r="H340" t="s">
        <v>978</v>
      </c>
      <c r="I340">
        <v>0.59520554542541504</v>
      </c>
      <c r="J340" t="s">
        <v>50</v>
      </c>
      <c r="K340" s="4">
        <v>0.5114516019821167</v>
      </c>
      <c r="L340" t="s">
        <v>226</v>
      </c>
      <c r="M340">
        <v>0.46956953000000001</v>
      </c>
      <c r="N340" t="s">
        <v>685</v>
      </c>
      <c r="O340">
        <v>0.113868855</v>
      </c>
      <c r="P340" t="s">
        <v>93</v>
      </c>
      <c r="Q340" s="4">
        <v>5.124592E-2</v>
      </c>
      <c r="R340" t="s">
        <v>685</v>
      </c>
      <c r="S340">
        <v>0.81064669999999994</v>
      </c>
      <c r="T340" t="s">
        <v>226</v>
      </c>
      <c r="U340">
        <v>3.941592E-2</v>
      </c>
      <c r="V340" t="s">
        <v>83</v>
      </c>
      <c r="W340">
        <v>2.4767964999999999E-2</v>
      </c>
    </row>
    <row r="341" spans="1:23" x14ac:dyDescent="0.25">
      <c r="A341" s="3" t="str">
        <f>HYPERLINK("http://ids.si.edu/ids/deliveryService?id=NMAH-AHB2017q052037","NMAH-AHB2017q052037")</f>
        <v>NMAH-AHB2017q052037</v>
      </c>
      <c r="B341" s="3" t="s">
        <v>1194</v>
      </c>
      <c r="C341" s="3">
        <v>1289352</v>
      </c>
      <c r="D341" s="3" t="s">
        <v>1167</v>
      </c>
      <c r="E341" s="4" t="s">
        <v>1195</v>
      </c>
      <c r="F341" t="s">
        <v>748</v>
      </c>
      <c r="G341">
        <v>0.60128092765808105</v>
      </c>
      <c r="L341" t="s">
        <v>82</v>
      </c>
      <c r="M341">
        <v>0.65394960000000002</v>
      </c>
      <c r="N341" t="s">
        <v>260</v>
      </c>
      <c r="O341">
        <v>0.17076564999999999</v>
      </c>
      <c r="P341" t="s">
        <v>495</v>
      </c>
      <c r="Q341" s="4">
        <v>9.3363180000000004E-2</v>
      </c>
      <c r="R341" t="s">
        <v>82</v>
      </c>
      <c r="S341">
        <v>0.62036334999999998</v>
      </c>
      <c r="T341" t="s">
        <v>260</v>
      </c>
      <c r="U341">
        <v>8.5992230000000003E-2</v>
      </c>
      <c r="V341" t="s">
        <v>83</v>
      </c>
      <c r="W341">
        <v>5.4043840000000003E-2</v>
      </c>
    </row>
    <row r="342" spans="1:23" x14ac:dyDescent="0.25">
      <c r="A342" s="3" t="str">
        <f>HYPERLINK("http://ids.si.edu/ids/deliveryService?id=NMAH-AHB2013q070094","NMAH-AHB2013q070094")</f>
        <v>NMAH-AHB2013q070094</v>
      </c>
      <c r="B342" s="3" t="s">
        <v>1196</v>
      </c>
      <c r="C342" s="3">
        <v>1071414</v>
      </c>
      <c r="D342" s="3" t="s">
        <v>1167</v>
      </c>
      <c r="E342" s="4" t="s">
        <v>1197</v>
      </c>
      <c r="F342" t="s">
        <v>91</v>
      </c>
      <c r="G342">
        <v>0.91031128168106079</v>
      </c>
      <c r="H342" t="s">
        <v>147</v>
      </c>
      <c r="I342">
        <v>0.62895107269287109</v>
      </c>
      <c r="L342" t="s">
        <v>571</v>
      </c>
      <c r="M342">
        <v>0.13704390999999999</v>
      </c>
      <c r="N342" t="s">
        <v>338</v>
      </c>
      <c r="O342">
        <v>8.1859699999999994E-2</v>
      </c>
      <c r="P342" t="s">
        <v>209</v>
      </c>
      <c r="Q342" s="4">
        <v>4.617922E-2</v>
      </c>
      <c r="R342" t="s">
        <v>95</v>
      </c>
      <c r="S342">
        <v>0.12714225000000001</v>
      </c>
      <c r="T342" t="s">
        <v>151</v>
      </c>
      <c r="U342">
        <v>0.12519975</v>
      </c>
      <c r="V342" t="s">
        <v>93</v>
      </c>
      <c r="W342">
        <v>9.9523749999999994E-2</v>
      </c>
    </row>
    <row r="343" spans="1:23" x14ac:dyDescent="0.25">
      <c r="A343" s="3" t="str">
        <f>HYPERLINK("http://ids.si.edu/ids/deliveryService?id=NMAH-AHB2017q050791","NMAH-AHB2017q050791")</f>
        <v>NMAH-AHB2017q050791</v>
      </c>
      <c r="B343" s="3" t="s">
        <v>1198</v>
      </c>
      <c r="C343" s="3">
        <v>998405</v>
      </c>
      <c r="D343" s="3" t="s">
        <v>1167</v>
      </c>
      <c r="E343" s="4" t="s">
        <v>1199</v>
      </c>
      <c r="F343" t="s">
        <v>1200</v>
      </c>
      <c r="G343">
        <v>0.75290960073471069</v>
      </c>
      <c r="H343" t="s">
        <v>90</v>
      </c>
      <c r="I343">
        <v>0.61177396774291992</v>
      </c>
      <c r="J343" t="s">
        <v>1201</v>
      </c>
      <c r="K343" s="4">
        <v>0.54409521818161011</v>
      </c>
      <c r="L343" t="s">
        <v>668</v>
      </c>
      <c r="M343">
        <v>0.85284009999999999</v>
      </c>
      <c r="N343" t="s">
        <v>442</v>
      </c>
      <c r="O343">
        <v>4.3408546999999999E-2</v>
      </c>
      <c r="P343" t="s">
        <v>212</v>
      </c>
      <c r="Q343" s="4">
        <v>2.7650761999999999E-2</v>
      </c>
      <c r="R343" t="s">
        <v>33</v>
      </c>
      <c r="S343">
        <v>0.105982564</v>
      </c>
      <c r="T343" t="s">
        <v>442</v>
      </c>
      <c r="U343">
        <v>8.2623020000000005E-2</v>
      </c>
      <c r="V343" t="s">
        <v>668</v>
      </c>
      <c r="W343">
        <v>5.8156010000000001E-2</v>
      </c>
    </row>
    <row r="344" spans="1:23" x14ac:dyDescent="0.25">
      <c r="A344" s="3" t="str">
        <f>HYPERLINK("http://ids.si.edu/ids/deliveryService?id=NMAH-AHB2017q061720","NMAH-AHB2017q061720")</f>
        <v>NMAH-AHB2017q061720</v>
      </c>
      <c r="B344" s="3" t="s">
        <v>1202</v>
      </c>
      <c r="C344" s="3">
        <v>1762216</v>
      </c>
      <c r="D344" s="3" t="s">
        <v>1167</v>
      </c>
      <c r="E344" s="4" t="s">
        <v>1203</v>
      </c>
      <c r="F344" t="s">
        <v>50</v>
      </c>
      <c r="G344">
        <v>0.5114516019821167</v>
      </c>
      <c r="L344" t="s">
        <v>495</v>
      </c>
      <c r="M344">
        <v>0.20207101</v>
      </c>
      <c r="N344" t="s">
        <v>83</v>
      </c>
      <c r="O344">
        <v>0.17343523999999999</v>
      </c>
      <c r="P344" t="s">
        <v>82</v>
      </c>
      <c r="Q344" s="4">
        <v>0.12136668</v>
      </c>
      <c r="R344" t="s">
        <v>82</v>
      </c>
      <c r="S344">
        <v>0.17873813</v>
      </c>
      <c r="T344" t="s">
        <v>239</v>
      </c>
      <c r="U344">
        <v>0.10020718000000001</v>
      </c>
      <c r="V344" t="s">
        <v>83</v>
      </c>
      <c r="W344">
        <v>9.2942730000000001E-2</v>
      </c>
    </row>
    <row r="345" spans="1:23" x14ac:dyDescent="0.25">
      <c r="A345" s="3" t="str">
        <f>HYPERLINK("http://ids.si.edu/ids/deliveryService?id=NMAH-AHB2017q050616","NMAH-AHB2017q050616")</f>
        <v>NMAH-AHB2017q050616</v>
      </c>
      <c r="B345" s="3" t="s">
        <v>1204</v>
      </c>
      <c r="C345" s="3">
        <v>1167511</v>
      </c>
      <c r="D345" s="3" t="s">
        <v>1167</v>
      </c>
      <c r="E345" s="4" t="s">
        <v>1205</v>
      </c>
      <c r="L345" t="s">
        <v>170</v>
      </c>
      <c r="M345">
        <v>0.21036996999999999</v>
      </c>
      <c r="N345" t="s">
        <v>913</v>
      </c>
      <c r="O345">
        <v>6.7318804999999995E-2</v>
      </c>
      <c r="P345" t="s">
        <v>764</v>
      </c>
      <c r="Q345" s="4">
        <v>5.5399869999999997E-2</v>
      </c>
      <c r="R345" t="s">
        <v>93</v>
      </c>
      <c r="S345">
        <v>7.4543535999999994E-2</v>
      </c>
      <c r="T345" t="s">
        <v>1067</v>
      </c>
      <c r="U345">
        <v>7.0225560000000006E-2</v>
      </c>
      <c r="V345" t="s">
        <v>1206</v>
      </c>
      <c r="W345">
        <v>4.6739910000000003E-2</v>
      </c>
    </row>
    <row r="346" spans="1:23" x14ac:dyDescent="0.25">
      <c r="A346" s="3" t="str">
        <f>HYPERLINK("http://ids.si.edu/ids/deliveryService?id=NMAH-AHB2012q60790","NMAH-AHB2012q60790")</f>
        <v>NMAH-AHB2012q60790</v>
      </c>
      <c r="B346" s="3" t="s">
        <v>1207</v>
      </c>
      <c r="C346" s="3">
        <v>717326</v>
      </c>
      <c r="D346" s="3" t="s">
        <v>1167</v>
      </c>
      <c r="E346" s="4" t="s">
        <v>1173</v>
      </c>
      <c r="F346" t="s">
        <v>91</v>
      </c>
      <c r="G346">
        <v>0.96942484378814697</v>
      </c>
      <c r="H346" t="s">
        <v>1187</v>
      </c>
      <c r="I346">
        <v>0.75250506401062012</v>
      </c>
      <c r="J346" t="s">
        <v>1016</v>
      </c>
      <c r="K346" s="4">
        <v>0.70662087202072144</v>
      </c>
      <c r="L346" t="s">
        <v>365</v>
      </c>
      <c r="M346">
        <v>0.84056156999999998</v>
      </c>
      <c r="N346" t="s">
        <v>95</v>
      </c>
      <c r="O346">
        <v>5.0257864999999999E-2</v>
      </c>
      <c r="P346" t="s">
        <v>363</v>
      </c>
      <c r="Q346" s="4">
        <v>1.7555667E-2</v>
      </c>
      <c r="R346" t="s">
        <v>134</v>
      </c>
      <c r="S346">
        <v>0.11529729499999999</v>
      </c>
      <c r="T346" t="s">
        <v>363</v>
      </c>
      <c r="U346">
        <v>5.4453521999999997E-2</v>
      </c>
      <c r="V346" t="s">
        <v>312</v>
      </c>
      <c r="W346">
        <v>4.153217E-2</v>
      </c>
    </row>
    <row r="347" spans="1:23" x14ac:dyDescent="0.25">
      <c r="A347" s="3" t="str">
        <f>HYPERLINK("http://ids.si.edu/ids/deliveryService?id=NMAH-AHB2017q054554","NMAH-AHB2017q054554")</f>
        <v>NMAH-AHB2017q054554</v>
      </c>
      <c r="B347" s="3" t="s">
        <v>1208</v>
      </c>
      <c r="C347" s="3">
        <v>1347349</v>
      </c>
      <c r="D347" s="3" t="s">
        <v>1167</v>
      </c>
      <c r="E347" s="4" t="s">
        <v>1209</v>
      </c>
      <c r="F347" t="s">
        <v>281</v>
      </c>
      <c r="G347">
        <v>0.74177259206771851</v>
      </c>
      <c r="H347" t="s">
        <v>49</v>
      </c>
      <c r="I347">
        <v>0.67519748210906982</v>
      </c>
      <c r="J347" t="s">
        <v>1210</v>
      </c>
      <c r="K347" s="4">
        <v>0.66316121816635132</v>
      </c>
      <c r="L347" t="s">
        <v>87</v>
      </c>
      <c r="M347">
        <v>0.3900303</v>
      </c>
      <c r="N347" t="s">
        <v>159</v>
      </c>
      <c r="O347">
        <v>0.1426547</v>
      </c>
      <c r="P347" t="s">
        <v>78</v>
      </c>
      <c r="Q347" s="4">
        <v>0.12429802</v>
      </c>
      <c r="R347" t="s">
        <v>150</v>
      </c>
      <c r="S347">
        <v>0.23998304000000001</v>
      </c>
      <c r="T347" t="s">
        <v>261</v>
      </c>
      <c r="U347">
        <v>0.11030806</v>
      </c>
      <c r="V347" t="s">
        <v>277</v>
      </c>
      <c r="W347">
        <v>8.3056740000000004E-2</v>
      </c>
    </row>
    <row r="348" spans="1:23" x14ac:dyDescent="0.25">
      <c r="A348" s="3" t="str">
        <f>HYPERLINK("http://ids.si.edu/ids/deliveryService?id=NMAH-AHB2014q045905","NMAH-AHB2014q045905")</f>
        <v>NMAH-AHB2014q045905</v>
      </c>
      <c r="B348" s="3" t="s">
        <v>1211</v>
      </c>
      <c r="C348" s="3">
        <v>1297998</v>
      </c>
      <c r="D348" s="3" t="s">
        <v>1167</v>
      </c>
      <c r="E348" s="4" t="s">
        <v>1212</v>
      </c>
      <c r="F348" t="s">
        <v>1213</v>
      </c>
      <c r="G348">
        <v>0.68283665180206299</v>
      </c>
      <c r="H348" t="s">
        <v>50</v>
      </c>
      <c r="I348">
        <v>0.60706108808517456</v>
      </c>
      <c r="L348" t="s">
        <v>83</v>
      </c>
      <c r="M348">
        <v>0.23642785999999999</v>
      </c>
      <c r="N348" t="s">
        <v>1214</v>
      </c>
      <c r="O348">
        <v>0.16173723000000001</v>
      </c>
      <c r="P348" t="s">
        <v>84</v>
      </c>
      <c r="Q348" s="4">
        <v>0.11730064</v>
      </c>
      <c r="R348" t="s">
        <v>495</v>
      </c>
      <c r="S348">
        <v>0.34206209999999998</v>
      </c>
      <c r="T348" t="s">
        <v>1215</v>
      </c>
      <c r="U348">
        <v>0.25577496999999999</v>
      </c>
      <c r="V348" t="s">
        <v>151</v>
      </c>
      <c r="W348">
        <v>0.11144438</v>
      </c>
    </row>
    <row r="349" spans="1:23" x14ac:dyDescent="0.25">
      <c r="A349" s="3" t="str">
        <f>HYPERLINK("http://ids.si.edu/ids/deliveryService?id=NMAH-AHB2017q048932","NMAH-AHB2017q048932")</f>
        <v>NMAH-AHB2017q048932</v>
      </c>
      <c r="B349" s="3" t="s">
        <v>1216</v>
      </c>
      <c r="C349" s="3">
        <v>333922</v>
      </c>
      <c r="D349" s="3" t="s">
        <v>1167</v>
      </c>
      <c r="E349" s="4" t="s">
        <v>1217</v>
      </c>
      <c r="F349" t="s">
        <v>220</v>
      </c>
      <c r="G349">
        <v>0.5699952244758606</v>
      </c>
      <c r="L349" t="s">
        <v>1218</v>
      </c>
      <c r="M349">
        <v>0.39664670000000002</v>
      </c>
      <c r="N349" t="s">
        <v>369</v>
      </c>
      <c r="O349">
        <v>0.19554408000000001</v>
      </c>
      <c r="P349" t="s">
        <v>620</v>
      </c>
      <c r="Q349" s="4">
        <v>9.1825955000000001E-2</v>
      </c>
      <c r="R349" t="s">
        <v>334</v>
      </c>
      <c r="S349">
        <v>0.28581834</v>
      </c>
      <c r="T349" t="s">
        <v>159</v>
      </c>
      <c r="U349">
        <v>0.13315919000000001</v>
      </c>
      <c r="V349" t="s">
        <v>572</v>
      </c>
      <c r="W349">
        <v>7.931713E-2</v>
      </c>
    </row>
    <row r="350" spans="1:23" x14ac:dyDescent="0.25">
      <c r="A350" s="3" t="str">
        <f>HYPERLINK("http://ids.si.edu/ids/deliveryService?id=NMAH-AHB2014q045615","NMAH-AHB2014q045615")</f>
        <v>NMAH-AHB2014q045615</v>
      </c>
      <c r="B350" s="3" t="s">
        <v>1219</v>
      </c>
      <c r="C350" s="3">
        <v>716679</v>
      </c>
      <c r="D350" s="3" t="s">
        <v>1167</v>
      </c>
      <c r="E350" s="4" t="s">
        <v>1220</v>
      </c>
      <c r="F350" t="s">
        <v>132</v>
      </c>
      <c r="G350">
        <v>0.90210020542144775</v>
      </c>
      <c r="L350" t="s">
        <v>151</v>
      </c>
      <c r="M350">
        <v>0.1444278</v>
      </c>
      <c r="N350" t="s">
        <v>363</v>
      </c>
      <c r="O350">
        <v>7.4577909999999997E-2</v>
      </c>
      <c r="P350" t="s">
        <v>209</v>
      </c>
      <c r="Q350" s="4">
        <v>7.419692E-2</v>
      </c>
      <c r="R350" t="s">
        <v>151</v>
      </c>
      <c r="S350">
        <v>0.40662791999999998</v>
      </c>
      <c r="T350" t="s">
        <v>363</v>
      </c>
      <c r="U350">
        <v>0.112649426</v>
      </c>
      <c r="V350" t="s">
        <v>93</v>
      </c>
      <c r="W350">
        <v>8.2078410000000004E-2</v>
      </c>
    </row>
    <row r="351" spans="1:23" x14ac:dyDescent="0.25">
      <c r="A351" s="3" t="str">
        <f>HYPERLINK("http://ids.si.edu/ids/deliveryService?id=NMAH-AHB2017q125693","NMAH-AHB2017q125693")</f>
        <v>NMAH-AHB2017q125693</v>
      </c>
      <c r="B351" s="3" t="s">
        <v>1221</v>
      </c>
      <c r="C351" s="3">
        <v>2285</v>
      </c>
      <c r="D351" s="3" t="s">
        <v>1167</v>
      </c>
      <c r="E351" s="4" t="s">
        <v>1178</v>
      </c>
      <c r="F351" t="s">
        <v>1222</v>
      </c>
      <c r="G351">
        <v>0.73187351226806641</v>
      </c>
      <c r="H351" t="s">
        <v>49</v>
      </c>
      <c r="I351">
        <v>0.70416688919067383</v>
      </c>
      <c r="J351" t="s">
        <v>50</v>
      </c>
      <c r="K351" s="4">
        <v>0.69359874725341797</v>
      </c>
      <c r="L351" t="s">
        <v>84</v>
      </c>
      <c r="M351">
        <v>0.20450456</v>
      </c>
      <c r="N351" t="s">
        <v>330</v>
      </c>
      <c r="O351">
        <v>0.19469832000000001</v>
      </c>
      <c r="P351" t="s">
        <v>397</v>
      </c>
      <c r="Q351" s="4">
        <v>6.6042799999999999E-2</v>
      </c>
      <c r="R351" t="s">
        <v>330</v>
      </c>
      <c r="S351">
        <v>0.38630179999999997</v>
      </c>
      <c r="T351" t="s">
        <v>84</v>
      </c>
      <c r="U351">
        <v>0.12211506</v>
      </c>
      <c r="V351" t="s">
        <v>239</v>
      </c>
      <c r="W351">
        <v>8.6965039999999993E-2</v>
      </c>
    </row>
    <row r="352" spans="1:23" x14ac:dyDescent="0.25">
      <c r="A352" s="3" t="str">
        <f>HYPERLINK("http://ids.si.edu/ids/deliveryService?id=NMAH-ET2014-40620","NMAH-ET2014-40620")</f>
        <v>NMAH-ET2014-40620</v>
      </c>
      <c r="B352" s="3" t="s">
        <v>1223</v>
      </c>
      <c r="C352" s="3">
        <v>1284615</v>
      </c>
      <c r="D352" s="3" t="s">
        <v>1167</v>
      </c>
      <c r="E352" s="4" t="s">
        <v>842</v>
      </c>
      <c r="F352" t="s">
        <v>196</v>
      </c>
      <c r="G352">
        <v>0.71058356761932373</v>
      </c>
      <c r="H352" t="s">
        <v>1224</v>
      </c>
      <c r="I352">
        <v>0.64478594064712524</v>
      </c>
      <c r="J352" t="s">
        <v>195</v>
      </c>
      <c r="K352" s="4">
        <v>0.55474025011062622</v>
      </c>
      <c r="L352" t="s">
        <v>183</v>
      </c>
      <c r="M352">
        <v>0.27443957000000002</v>
      </c>
      <c r="N352" t="s">
        <v>66</v>
      </c>
      <c r="O352">
        <v>0.21434</v>
      </c>
      <c r="P352" t="s">
        <v>29</v>
      </c>
      <c r="Q352" s="4">
        <v>5.6366119999999999E-2</v>
      </c>
      <c r="R352" t="s">
        <v>134</v>
      </c>
      <c r="S352">
        <v>0.39425153000000002</v>
      </c>
      <c r="T352" t="s">
        <v>66</v>
      </c>
      <c r="U352">
        <v>0.22060759999999999</v>
      </c>
      <c r="V352" t="s">
        <v>253</v>
      </c>
      <c r="W352">
        <v>5.1802553000000001E-2</v>
      </c>
    </row>
    <row r="353" spans="1:23" x14ac:dyDescent="0.25">
      <c r="A353" s="3" t="str">
        <f>HYPERLINK("http://ids.si.edu/ids/deliveryService?id=NMAH-AHB2017q125505","NMAH-AHB2017q125505")</f>
        <v>NMAH-AHB2017q125505</v>
      </c>
      <c r="B353" s="3" t="s">
        <v>1225</v>
      </c>
      <c r="C353" s="3">
        <v>376186</v>
      </c>
      <c r="D353" s="3" t="s">
        <v>1167</v>
      </c>
      <c r="E353" s="4" t="s">
        <v>1226</v>
      </c>
      <c r="F353" t="s">
        <v>434</v>
      </c>
      <c r="G353">
        <v>0.94899189472198486</v>
      </c>
      <c r="H353" t="s">
        <v>433</v>
      </c>
      <c r="I353">
        <v>0.93818366527557373</v>
      </c>
      <c r="J353" t="s">
        <v>434</v>
      </c>
      <c r="K353" s="4">
        <v>0.8867073655128479</v>
      </c>
      <c r="L353" t="s">
        <v>174</v>
      </c>
      <c r="M353">
        <v>0.12779313</v>
      </c>
      <c r="N353" t="s">
        <v>765</v>
      </c>
      <c r="O353">
        <v>0.11144402</v>
      </c>
      <c r="P353" t="s">
        <v>93</v>
      </c>
      <c r="Q353" s="4">
        <v>6.4305959999999995E-2</v>
      </c>
      <c r="R353" t="s">
        <v>84</v>
      </c>
      <c r="S353">
        <v>0.13092097999999999</v>
      </c>
      <c r="T353" t="s">
        <v>83</v>
      </c>
      <c r="U353">
        <v>8.745087E-2</v>
      </c>
      <c r="V353" t="s">
        <v>87</v>
      </c>
      <c r="W353">
        <v>8.0371893999999999E-2</v>
      </c>
    </row>
    <row r="354" spans="1:23" x14ac:dyDescent="0.25">
      <c r="A354" s="3" t="str">
        <f>HYPERLINK("http://ids.si.edu/ids/deliveryService?id=NMAH-AHB2017q127182","NMAH-AHB2017q127182")</f>
        <v>NMAH-AHB2017q127182</v>
      </c>
      <c r="B354" s="3" t="s">
        <v>1227</v>
      </c>
      <c r="C354" s="3">
        <v>1184027</v>
      </c>
      <c r="D354" s="3" t="s">
        <v>1167</v>
      </c>
      <c r="E354" s="4" t="s">
        <v>1228</v>
      </c>
      <c r="F354" t="s">
        <v>147</v>
      </c>
      <c r="G354">
        <v>0.91063803434371948</v>
      </c>
      <c r="H354" t="s">
        <v>38</v>
      </c>
      <c r="I354">
        <v>0.63228130340576172</v>
      </c>
      <c r="J354" t="s">
        <v>636</v>
      </c>
      <c r="K354" s="4">
        <v>0.553131103515625</v>
      </c>
      <c r="L354" t="s">
        <v>330</v>
      </c>
      <c r="M354">
        <v>0.3598867</v>
      </c>
      <c r="N354" t="s">
        <v>673</v>
      </c>
      <c r="O354">
        <v>0.27431687999999999</v>
      </c>
      <c r="P354" t="s">
        <v>685</v>
      </c>
      <c r="Q354" s="4">
        <v>7.3308189999999995E-2</v>
      </c>
      <c r="R354" t="s">
        <v>673</v>
      </c>
      <c r="S354">
        <v>0.37489090000000003</v>
      </c>
      <c r="T354" t="s">
        <v>685</v>
      </c>
      <c r="U354">
        <v>0.11827511</v>
      </c>
      <c r="V354" t="s">
        <v>226</v>
      </c>
      <c r="W354">
        <v>8.4093630000000003E-2</v>
      </c>
    </row>
    <row r="355" spans="1:23" x14ac:dyDescent="0.25">
      <c r="A355" s="3" t="str">
        <f>HYPERLINK("http://ids.si.edu/ids/deliveryService?id=NMAH-AHB2017q060708","NMAH-AHB2017q060708")</f>
        <v>NMAH-AHB2017q060708</v>
      </c>
      <c r="B355" s="3" t="s">
        <v>1229</v>
      </c>
      <c r="C355" s="3">
        <v>1317552</v>
      </c>
      <c r="D355" s="3" t="s">
        <v>1167</v>
      </c>
      <c r="E355" s="4" t="s">
        <v>1230</v>
      </c>
      <c r="F355" t="s">
        <v>1231</v>
      </c>
      <c r="G355">
        <v>0.81673681735992432</v>
      </c>
      <c r="H355" t="s">
        <v>206</v>
      </c>
      <c r="I355">
        <v>0.73712414503097534</v>
      </c>
      <c r="J355" t="s">
        <v>1232</v>
      </c>
      <c r="K355" s="4">
        <v>0.71262276172637939</v>
      </c>
      <c r="L355" t="s">
        <v>42</v>
      </c>
      <c r="M355">
        <v>0.46917494999999998</v>
      </c>
      <c r="N355" t="s">
        <v>66</v>
      </c>
      <c r="O355">
        <v>0.22946806</v>
      </c>
      <c r="P355" t="s">
        <v>678</v>
      </c>
      <c r="Q355" s="4">
        <v>9.7005024999999995E-2</v>
      </c>
      <c r="R355" t="s">
        <v>42</v>
      </c>
      <c r="S355">
        <v>0.32229790000000003</v>
      </c>
      <c r="T355" t="s">
        <v>66</v>
      </c>
      <c r="U355">
        <v>0.12338497499999999</v>
      </c>
      <c r="V355" t="s">
        <v>52</v>
      </c>
      <c r="W355">
        <v>6.7530640000000003E-2</v>
      </c>
    </row>
    <row r="356" spans="1:23" x14ac:dyDescent="0.25">
      <c r="A356" s="3" t="str">
        <f>HYPERLINK("http://ids.si.edu/ids/deliveryService?id=NMAH-AHB2017q128224","NMAH-AHB2017q128224")</f>
        <v>NMAH-AHB2017q128224</v>
      </c>
      <c r="B356" s="3" t="s">
        <v>1233</v>
      </c>
      <c r="C356" s="3">
        <v>745880</v>
      </c>
      <c r="D356" s="3" t="s">
        <v>1167</v>
      </c>
      <c r="E356" s="4" t="s">
        <v>1234</v>
      </c>
      <c r="F356" t="s">
        <v>595</v>
      </c>
      <c r="G356">
        <v>0.85773831605911255</v>
      </c>
      <c r="H356" t="s">
        <v>90</v>
      </c>
      <c r="I356">
        <v>0.83761268854141235</v>
      </c>
      <c r="J356" t="s">
        <v>50</v>
      </c>
      <c r="K356" s="4">
        <v>0.7537727952003479</v>
      </c>
      <c r="L356" t="s">
        <v>700</v>
      </c>
      <c r="M356">
        <v>0.56282559999999993</v>
      </c>
      <c r="N356" t="s">
        <v>1235</v>
      </c>
      <c r="O356">
        <v>9.4332570000000004E-2</v>
      </c>
      <c r="P356" t="s">
        <v>336</v>
      </c>
      <c r="Q356" s="4">
        <v>2.6817509999999999E-2</v>
      </c>
      <c r="R356" t="s">
        <v>261</v>
      </c>
      <c r="S356">
        <v>0.20161054</v>
      </c>
      <c r="T356" t="s">
        <v>1236</v>
      </c>
      <c r="U356">
        <v>9.6552959999999993E-2</v>
      </c>
      <c r="V356" t="s">
        <v>700</v>
      </c>
      <c r="W356">
        <v>6.6896549999999999E-2</v>
      </c>
    </row>
    <row r="357" spans="1:23" x14ac:dyDescent="0.25">
      <c r="A357" s="3" t="str">
        <f>HYPERLINK("http://ids.si.edu/ids/deliveryService?id=NMAH-AHB2012q69999-000001","NMAH-AHB2012q69999-000001")</f>
        <v>NMAH-AHB2012q69999-000001</v>
      </c>
      <c r="B357" s="3" t="s">
        <v>1237</v>
      </c>
      <c r="C357" s="3">
        <v>1355054</v>
      </c>
      <c r="D357" s="3" t="s">
        <v>1167</v>
      </c>
      <c r="E357" s="4" t="s">
        <v>1173</v>
      </c>
      <c r="F357" t="s">
        <v>132</v>
      </c>
      <c r="G357">
        <v>0.93845778703689575</v>
      </c>
      <c r="H357" t="s">
        <v>91</v>
      </c>
      <c r="I357">
        <v>0.93479853868484497</v>
      </c>
      <c r="J357" t="s">
        <v>1187</v>
      </c>
      <c r="K357" s="4">
        <v>0.78671634197235107</v>
      </c>
      <c r="L357" t="s">
        <v>363</v>
      </c>
      <c r="M357">
        <v>0.96023749999999997</v>
      </c>
      <c r="N357" t="s">
        <v>312</v>
      </c>
      <c r="O357">
        <v>1.37181245E-2</v>
      </c>
      <c r="P357" t="s">
        <v>1238</v>
      </c>
      <c r="Q357" s="4">
        <v>7.4917282999999993E-3</v>
      </c>
      <c r="R357" t="s">
        <v>363</v>
      </c>
      <c r="S357">
        <v>0.59526396000000004</v>
      </c>
      <c r="T357" t="s">
        <v>1238</v>
      </c>
      <c r="U357">
        <v>5.0663966999999997E-2</v>
      </c>
      <c r="V357" t="s">
        <v>362</v>
      </c>
      <c r="W357">
        <v>4.282217E-2</v>
      </c>
    </row>
    <row r="358" spans="1:23" x14ac:dyDescent="0.25">
      <c r="A358" s="3" t="str">
        <f>HYPERLINK("http://ids.si.edu/ids/deliveryService?id=NMAH-AHB2010q03552-001","NMAH-AHB2010q03552-001")</f>
        <v>NMAH-AHB2010q03552-001</v>
      </c>
      <c r="B358" s="3" t="s">
        <v>1239</v>
      </c>
      <c r="C358" s="3">
        <v>724921</v>
      </c>
      <c r="D358" s="3" t="s">
        <v>1167</v>
      </c>
      <c r="E358" s="4" t="s">
        <v>1240</v>
      </c>
      <c r="F358" t="s">
        <v>748</v>
      </c>
      <c r="G358">
        <v>0.67842793464660645</v>
      </c>
      <c r="H358" t="s">
        <v>206</v>
      </c>
      <c r="I358">
        <v>0.59933161735534668</v>
      </c>
      <c r="J358" t="s">
        <v>301</v>
      </c>
      <c r="K358" s="4">
        <v>0.58137208223342896</v>
      </c>
      <c r="L358" t="s">
        <v>969</v>
      </c>
      <c r="M358">
        <v>0.98964196000000004</v>
      </c>
      <c r="N358" t="s">
        <v>1241</v>
      </c>
      <c r="O358">
        <v>5.7751399999999998E-3</v>
      </c>
      <c r="P358" t="s">
        <v>273</v>
      </c>
      <c r="Q358" s="4">
        <v>7.2294280000000002E-4</v>
      </c>
      <c r="R358" t="s">
        <v>969</v>
      </c>
      <c r="S358">
        <v>0.29906412999999998</v>
      </c>
      <c r="T358" t="s">
        <v>273</v>
      </c>
      <c r="U358">
        <v>0.13228005000000001</v>
      </c>
      <c r="V358" t="s">
        <v>336</v>
      </c>
      <c r="W358">
        <v>8.8860300000000003E-2</v>
      </c>
    </row>
    <row r="359" spans="1:23" x14ac:dyDescent="0.25">
      <c r="A359" s="3" t="str">
        <f>HYPERLINK("http://ids.si.edu/ids/deliveryService?id=NMAH-AHB2012q69258-000001","NMAH-AHB2012q69258-000001")</f>
        <v>NMAH-AHB2012q69258-000001</v>
      </c>
      <c r="B359" s="3" t="s">
        <v>1242</v>
      </c>
      <c r="C359" s="3">
        <v>1298398</v>
      </c>
      <c r="D359" s="3" t="s">
        <v>1167</v>
      </c>
      <c r="E359" s="4" t="s">
        <v>1173</v>
      </c>
      <c r="F359" t="s">
        <v>147</v>
      </c>
      <c r="G359">
        <v>0.91259115934371948</v>
      </c>
      <c r="H359" t="s">
        <v>91</v>
      </c>
      <c r="I359">
        <v>0.88283330202102661</v>
      </c>
      <c r="J359" t="s">
        <v>50</v>
      </c>
      <c r="K359" s="4">
        <v>0.60706108808517456</v>
      </c>
      <c r="L359" t="s">
        <v>185</v>
      </c>
      <c r="M359">
        <v>0.10829537</v>
      </c>
      <c r="N359" t="s">
        <v>1151</v>
      </c>
      <c r="O359">
        <v>9.7649260000000002E-2</v>
      </c>
      <c r="P359" t="s">
        <v>1023</v>
      </c>
      <c r="Q359" s="4">
        <v>7.7386360000000001E-2</v>
      </c>
      <c r="R359" t="s">
        <v>334</v>
      </c>
      <c r="S359">
        <v>0.18972723</v>
      </c>
      <c r="T359" t="s">
        <v>209</v>
      </c>
      <c r="U359">
        <v>0.12493006</v>
      </c>
      <c r="V359" t="s">
        <v>312</v>
      </c>
      <c r="W359">
        <v>7.7500449999999999E-2</v>
      </c>
    </row>
    <row r="360" spans="1:23" x14ac:dyDescent="0.25">
      <c r="A360" s="3" t="str">
        <f>HYPERLINK("http://ids.si.edu/ids/deliveryService?id=NMAH-ET2015-02873","NMAH-ET2015-02873")</f>
        <v>NMAH-ET2015-02873</v>
      </c>
      <c r="B360" s="3" t="s">
        <v>1243</v>
      </c>
      <c r="C360" s="3">
        <v>922</v>
      </c>
      <c r="D360" s="3" t="s">
        <v>1167</v>
      </c>
      <c r="E360" s="4" t="s">
        <v>984</v>
      </c>
      <c r="F360" t="s">
        <v>574</v>
      </c>
      <c r="G360">
        <v>0.80377262830734253</v>
      </c>
      <c r="H360" t="s">
        <v>1244</v>
      </c>
      <c r="I360">
        <v>0.70802384614944458</v>
      </c>
      <c r="J360" t="s">
        <v>1150</v>
      </c>
      <c r="K360" s="4">
        <v>0.69260519742965698</v>
      </c>
      <c r="L360" t="s">
        <v>984</v>
      </c>
      <c r="M360">
        <v>0.95737559999999999</v>
      </c>
      <c r="N360" t="s">
        <v>1168</v>
      </c>
      <c r="O360">
        <v>1.543243E-2</v>
      </c>
      <c r="P360" t="s">
        <v>821</v>
      </c>
      <c r="Q360" s="4">
        <v>8.2722409999999996E-3</v>
      </c>
      <c r="R360" t="s">
        <v>984</v>
      </c>
      <c r="S360">
        <v>0.63567410000000002</v>
      </c>
      <c r="T360" t="s">
        <v>1168</v>
      </c>
      <c r="U360">
        <v>0.22762378</v>
      </c>
      <c r="V360" t="s">
        <v>821</v>
      </c>
      <c r="W360">
        <v>1.6174790000000001E-2</v>
      </c>
    </row>
    <row r="361" spans="1:23" x14ac:dyDescent="0.25">
      <c r="A361" s="3" t="str">
        <f>HYPERLINK("http://ids.si.edu/ids/deliveryService?id=NMAH-AHB2012q77722-000001","NMAH-AHB2012q77722-000001")</f>
        <v>NMAH-AHB2012q77722-000001</v>
      </c>
      <c r="B361" s="3" t="s">
        <v>1245</v>
      </c>
      <c r="C361" s="3">
        <v>718783</v>
      </c>
      <c r="D361" s="3" t="s">
        <v>1167</v>
      </c>
      <c r="E361" s="4" t="s">
        <v>1173</v>
      </c>
      <c r="F361" t="s">
        <v>91</v>
      </c>
      <c r="G361">
        <v>0.88283330202102661</v>
      </c>
      <c r="H361" t="s">
        <v>132</v>
      </c>
      <c r="I361">
        <v>0.83633017539978027</v>
      </c>
      <c r="J361" t="s">
        <v>1246</v>
      </c>
      <c r="K361" s="4">
        <v>0.70156067609786987</v>
      </c>
      <c r="L361" t="s">
        <v>209</v>
      </c>
      <c r="M361">
        <v>0.34479964000000002</v>
      </c>
      <c r="N361" t="s">
        <v>66</v>
      </c>
      <c r="O361">
        <v>9.9625089999999999E-2</v>
      </c>
      <c r="P361" t="s">
        <v>940</v>
      </c>
      <c r="Q361" s="4">
        <v>7.8804970000000002E-2</v>
      </c>
      <c r="R361" t="s">
        <v>363</v>
      </c>
      <c r="S361">
        <v>0.13004157</v>
      </c>
      <c r="T361" t="s">
        <v>66</v>
      </c>
      <c r="U361">
        <v>6.0942570000000001E-2</v>
      </c>
      <c r="V361" t="s">
        <v>627</v>
      </c>
      <c r="W361">
        <v>4.7886680000000001E-2</v>
      </c>
    </row>
    <row r="362" spans="1:23" x14ac:dyDescent="0.25">
      <c r="A362" s="3" t="str">
        <f>HYPERLINK("http://ids.si.edu/ids/deliveryService?id=NMAH-AHB2016q010095","NMAH-AHB2016q010095")</f>
        <v>NMAH-AHB2016q010095</v>
      </c>
      <c r="B362" s="3" t="s">
        <v>1247</v>
      </c>
      <c r="C362" s="3">
        <v>731041</v>
      </c>
      <c r="D362" s="3" t="s">
        <v>1167</v>
      </c>
      <c r="E362" s="4" t="s">
        <v>1248</v>
      </c>
      <c r="F362" t="s">
        <v>91</v>
      </c>
      <c r="G362">
        <v>0.91031128168106079</v>
      </c>
      <c r="H362" t="s">
        <v>1249</v>
      </c>
      <c r="I362">
        <v>0.67541635036468506</v>
      </c>
      <c r="J362" t="s">
        <v>1250</v>
      </c>
      <c r="K362" s="4">
        <v>0.62896853685379028</v>
      </c>
      <c r="L362" t="s">
        <v>363</v>
      </c>
      <c r="M362">
        <v>0.83043723999999997</v>
      </c>
      <c r="N362" t="s">
        <v>334</v>
      </c>
      <c r="O362">
        <v>6.7024739999999999E-2</v>
      </c>
      <c r="P362" t="s">
        <v>627</v>
      </c>
      <c r="Q362" s="4">
        <v>2.0950086E-2</v>
      </c>
      <c r="R362" t="s">
        <v>363</v>
      </c>
      <c r="S362">
        <v>0.91512053999999998</v>
      </c>
      <c r="T362" t="s">
        <v>627</v>
      </c>
      <c r="U362">
        <v>2.9023316E-2</v>
      </c>
      <c r="V362" t="s">
        <v>1238</v>
      </c>
      <c r="W362">
        <v>2.2275857999999999E-2</v>
      </c>
    </row>
    <row r="363" spans="1:23" x14ac:dyDescent="0.25">
      <c r="A363" s="3" t="str">
        <f>HYPERLINK("http://ids.si.edu/ids/deliveryService?id=NMAH-AHB2012q65910","NMAH-AHB2012q65910")</f>
        <v>NMAH-AHB2012q65910</v>
      </c>
      <c r="B363" s="3" t="s">
        <v>1251</v>
      </c>
      <c r="C363" s="3">
        <v>1339380</v>
      </c>
      <c r="D363" s="3" t="s">
        <v>1167</v>
      </c>
      <c r="E363" s="4" t="s">
        <v>1173</v>
      </c>
      <c r="F363" t="s">
        <v>486</v>
      </c>
      <c r="G363">
        <v>0.60440236330032349</v>
      </c>
      <c r="H363" t="s">
        <v>220</v>
      </c>
      <c r="I363">
        <v>0.50960689783096313</v>
      </c>
      <c r="L363" t="s">
        <v>426</v>
      </c>
      <c r="M363">
        <v>0.34866510000000001</v>
      </c>
      <c r="N363" t="s">
        <v>152</v>
      </c>
      <c r="O363">
        <v>6.1441469999999998E-2</v>
      </c>
      <c r="P363" t="s">
        <v>260</v>
      </c>
      <c r="Q363" s="4">
        <v>5.7450050000000003E-2</v>
      </c>
      <c r="R363" t="s">
        <v>66</v>
      </c>
      <c r="S363">
        <v>0.19676850000000001</v>
      </c>
      <c r="T363" t="s">
        <v>601</v>
      </c>
      <c r="U363">
        <v>5.8903682999999998E-2</v>
      </c>
      <c r="V363" t="s">
        <v>151</v>
      </c>
      <c r="W363">
        <v>5.7841367999999997E-2</v>
      </c>
    </row>
    <row r="364" spans="1:23" x14ac:dyDescent="0.25">
      <c r="A364" s="3" t="str">
        <f>HYPERLINK("http://ids.si.edu/ids/deliveryService?id=NMAH-AHB2017q062196","NMAH-AHB2017q062196")</f>
        <v>NMAH-AHB2017q062196</v>
      </c>
      <c r="B364" s="3" t="s">
        <v>1252</v>
      </c>
      <c r="C364" s="3">
        <v>2365</v>
      </c>
      <c r="D364" s="3" t="s">
        <v>1167</v>
      </c>
      <c r="E364" s="4" t="s">
        <v>1253</v>
      </c>
      <c r="F364" t="s">
        <v>1254</v>
      </c>
      <c r="G364">
        <v>0.63029241561889648</v>
      </c>
      <c r="H364" t="s">
        <v>50</v>
      </c>
      <c r="I364">
        <v>0.5114516019821167</v>
      </c>
      <c r="J364" t="s">
        <v>636</v>
      </c>
      <c r="K364" s="4">
        <v>0.50310409069061279</v>
      </c>
      <c r="L364" t="s">
        <v>336</v>
      </c>
      <c r="M364">
        <v>0.12563588000000001</v>
      </c>
      <c r="N364" t="s">
        <v>259</v>
      </c>
      <c r="O364">
        <v>0.12276825</v>
      </c>
      <c r="P364" t="s">
        <v>203</v>
      </c>
      <c r="Q364" s="4">
        <v>0.1181855</v>
      </c>
      <c r="R364" t="s">
        <v>976</v>
      </c>
      <c r="S364">
        <v>0.10015117</v>
      </c>
      <c r="T364" t="s">
        <v>141</v>
      </c>
      <c r="U364">
        <v>5.9187800000000013E-2</v>
      </c>
      <c r="V364" t="s">
        <v>203</v>
      </c>
      <c r="W364">
        <v>4.8163347000000002E-2</v>
      </c>
    </row>
    <row r="365" spans="1:23" x14ac:dyDescent="0.25">
      <c r="A365" s="3" t="str">
        <f>HYPERLINK("http://ids.si.edu/ids/deliveryService?id=NMAH-AHB2017q129417","NMAH-AHB2017q129417")</f>
        <v>NMAH-AHB2017q129417</v>
      </c>
      <c r="B365" s="3" t="s">
        <v>1255</v>
      </c>
      <c r="C365" s="3">
        <v>591</v>
      </c>
      <c r="D365" s="3" t="s">
        <v>1167</v>
      </c>
      <c r="E365" s="4" t="s">
        <v>1256</v>
      </c>
      <c r="F365" t="s">
        <v>90</v>
      </c>
      <c r="G365">
        <v>0.61177396774291992</v>
      </c>
      <c r="L365" t="s">
        <v>1257</v>
      </c>
      <c r="M365">
        <v>0.15260908000000001</v>
      </c>
      <c r="N365" t="s">
        <v>212</v>
      </c>
      <c r="O365">
        <v>0.13612145</v>
      </c>
      <c r="P365" t="s">
        <v>329</v>
      </c>
      <c r="Q365" s="4">
        <v>0.12527854999999999</v>
      </c>
      <c r="R365" t="s">
        <v>51</v>
      </c>
      <c r="S365">
        <v>0.13441858000000001</v>
      </c>
      <c r="T365" t="s">
        <v>1086</v>
      </c>
      <c r="U365">
        <v>0.10782409</v>
      </c>
      <c r="V365" t="s">
        <v>1257</v>
      </c>
      <c r="W365">
        <v>9.7834180000000007E-2</v>
      </c>
    </row>
    <row r="366" spans="1:23" x14ac:dyDescent="0.25">
      <c r="A366" s="3" t="str">
        <f>HYPERLINK("http://ids.si.edu/ids/deliveryService?id=NMAH-AHB2012q66946","NMAH-AHB2012q66946")</f>
        <v>NMAH-AHB2012q66946</v>
      </c>
      <c r="B366" s="3" t="s">
        <v>1258</v>
      </c>
      <c r="C366" s="3">
        <v>737820</v>
      </c>
      <c r="D366" s="3" t="s">
        <v>1167</v>
      </c>
      <c r="E366" s="4" t="s">
        <v>1173</v>
      </c>
      <c r="F366" t="s">
        <v>292</v>
      </c>
      <c r="G366">
        <v>0.93641203641891479</v>
      </c>
      <c r="H366" t="s">
        <v>112</v>
      </c>
      <c r="I366">
        <v>0.68572378158569336</v>
      </c>
      <c r="J366" t="s">
        <v>1259</v>
      </c>
      <c r="K366" s="4">
        <v>0.67968070507049561</v>
      </c>
      <c r="L366" t="s">
        <v>190</v>
      </c>
      <c r="M366">
        <v>0.21971874999999999</v>
      </c>
      <c r="N366" t="s">
        <v>1260</v>
      </c>
      <c r="O366">
        <v>0.1067457</v>
      </c>
      <c r="P366" t="s">
        <v>1261</v>
      </c>
      <c r="Q366" s="4">
        <v>8.4598160000000006E-2</v>
      </c>
      <c r="R366" t="s">
        <v>813</v>
      </c>
      <c r="S366">
        <v>0.26062953</v>
      </c>
      <c r="T366" t="s">
        <v>586</v>
      </c>
      <c r="U366">
        <v>5.9147472999999999E-2</v>
      </c>
      <c r="V366" t="s">
        <v>151</v>
      </c>
      <c r="W366">
        <v>5.642312E-2</v>
      </c>
    </row>
    <row r="367" spans="1:23" x14ac:dyDescent="0.25">
      <c r="A367" s="3" t="str">
        <f>HYPERLINK("http://ids.si.edu/ids/deliveryService?id=NMAH-AHB2017q060255","NMAH-AHB2017q060255")</f>
        <v>NMAH-AHB2017q060255</v>
      </c>
      <c r="B367" s="3" t="s">
        <v>1262</v>
      </c>
      <c r="C367" s="3">
        <v>2796</v>
      </c>
      <c r="D367" s="3" t="s">
        <v>1167</v>
      </c>
      <c r="E367" s="4" t="s">
        <v>1263</v>
      </c>
      <c r="F367" t="s">
        <v>91</v>
      </c>
      <c r="G367">
        <v>0.91031128168106079</v>
      </c>
      <c r="H367" t="s">
        <v>38</v>
      </c>
      <c r="I367">
        <v>0.74079883098602295</v>
      </c>
      <c r="J367" t="s">
        <v>1016</v>
      </c>
      <c r="K367" s="4">
        <v>0.6991998553276062</v>
      </c>
      <c r="L367" t="s">
        <v>369</v>
      </c>
      <c r="M367">
        <v>0.10315319000000001</v>
      </c>
      <c r="N367" t="s">
        <v>66</v>
      </c>
      <c r="O367">
        <v>3.5554179999999998E-2</v>
      </c>
      <c r="P367" t="s">
        <v>149</v>
      </c>
      <c r="Q367" s="4">
        <v>3.1355143000000002E-2</v>
      </c>
      <c r="R367" t="s">
        <v>336</v>
      </c>
      <c r="S367">
        <v>9.4337560000000001E-2</v>
      </c>
      <c r="T367" t="s">
        <v>444</v>
      </c>
      <c r="U367">
        <v>9.3698630000000005E-2</v>
      </c>
      <c r="V367" t="s">
        <v>151</v>
      </c>
      <c r="W367">
        <v>9.1741859999999995E-2</v>
      </c>
    </row>
    <row r="368" spans="1:23" x14ac:dyDescent="0.25">
      <c r="A368" s="3" t="str">
        <f>HYPERLINK("http://ids.si.edu/ids/deliveryService?id=NMAH-AHB2009q05302","NMAH-AHB2009q05302")</f>
        <v>NMAH-AHB2009q05302</v>
      </c>
      <c r="B368" s="3" t="s">
        <v>1264</v>
      </c>
      <c r="C368" s="3">
        <v>1348591</v>
      </c>
      <c r="D368" s="3" t="s">
        <v>1167</v>
      </c>
      <c r="E368" s="4" t="s">
        <v>1265</v>
      </c>
      <c r="F368" t="s">
        <v>1266</v>
      </c>
      <c r="G368">
        <v>0.86044186353683472</v>
      </c>
      <c r="H368" t="s">
        <v>1267</v>
      </c>
      <c r="I368">
        <v>0.84797400236129761</v>
      </c>
      <c r="J368" t="s">
        <v>636</v>
      </c>
      <c r="K368" s="4">
        <v>0.64177501201629639</v>
      </c>
      <c r="L368" t="s">
        <v>149</v>
      </c>
      <c r="M368">
        <v>0.15261359999999999</v>
      </c>
      <c r="N368" t="s">
        <v>609</v>
      </c>
      <c r="O368">
        <v>8.5384890000000005E-2</v>
      </c>
      <c r="P368" t="s">
        <v>599</v>
      </c>
      <c r="Q368" s="4">
        <v>8.248171E-2</v>
      </c>
      <c r="R368" t="s">
        <v>93</v>
      </c>
      <c r="S368">
        <v>0.123621255</v>
      </c>
      <c r="T368" t="s">
        <v>571</v>
      </c>
      <c r="U368">
        <v>0.11150402600000001</v>
      </c>
      <c r="V368" t="s">
        <v>673</v>
      </c>
      <c r="W368">
        <v>8.7860289999999994E-2</v>
      </c>
    </row>
    <row r="369" spans="1:23" x14ac:dyDescent="0.25">
      <c r="A369" s="3" t="str">
        <f>HYPERLINK("http://ids.si.edu/ids/deliveryService?id=NMAH-AHB2017q013627","NMAH-AHB2017q013627")</f>
        <v>NMAH-AHB2017q013627</v>
      </c>
      <c r="B369" s="3" t="s">
        <v>1268</v>
      </c>
      <c r="C369" s="3">
        <v>1822152</v>
      </c>
      <c r="D369" s="3" t="s">
        <v>1167</v>
      </c>
      <c r="E369" s="4" t="s">
        <v>1269</v>
      </c>
      <c r="F369" t="s">
        <v>615</v>
      </c>
      <c r="G369">
        <v>0.90949982404708862</v>
      </c>
      <c r="H369" t="s">
        <v>441</v>
      </c>
      <c r="I369">
        <v>0.89857476949691772</v>
      </c>
      <c r="J369" t="s">
        <v>91</v>
      </c>
      <c r="K369" s="4">
        <v>0.88283330202102661</v>
      </c>
      <c r="L369" t="s">
        <v>601</v>
      </c>
      <c r="M369">
        <v>0.55386650000000004</v>
      </c>
      <c r="N369" t="s">
        <v>149</v>
      </c>
      <c r="O369">
        <v>8.9852940000000006E-2</v>
      </c>
      <c r="P369" t="s">
        <v>782</v>
      </c>
      <c r="Q369" s="4">
        <v>4.2887229999999998E-2</v>
      </c>
      <c r="R369" t="s">
        <v>601</v>
      </c>
      <c r="S369">
        <v>0.19564435999999999</v>
      </c>
      <c r="T369" t="s">
        <v>93</v>
      </c>
      <c r="U369">
        <v>9.5914446E-2</v>
      </c>
      <c r="V369" t="s">
        <v>170</v>
      </c>
      <c r="W369">
        <v>6.8558800000000003E-2</v>
      </c>
    </row>
    <row r="370" spans="1:23" x14ac:dyDescent="0.25">
      <c r="A370" s="3" t="str">
        <f>HYPERLINK("http://ids.si.edu/ids/deliveryService?id=NMAH-AHB2017q046663","NMAH-AHB2017q046663")</f>
        <v>NMAH-AHB2017q046663</v>
      </c>
      <c r="B370" s="3" t="s">
        <v>1270</v>
      </c>
      <c r="C370" s="3">
        <v>1824726</v>
      </c>
      <c r="D370" s="3" t="s">
        <v>1167</v>
      </c>
      <c r="E370" s="4" t="s">
        <v>1271</v>
      </c>
      <c r="F370" t="s">
        <v>61</v>
      </c>
      <c r="G370">
        <v>0.85248786211013794</v>
      </c>
      <c r="H370" t="s">
        <v>727</v>
      </c>
      <c r="I370">
        <v>0.71392285823822021</v>
      </c>
      <c r="J370" t="s">
        <v>220</v>
      </c>
      <c r="K370" s="4">
        <v>0.50960689783096313</v>
      </c>
      <c r="L370" t="s">
        <v>66</v>
      </c>
      <c r="M370">
        <v>0.52570903000000002</v>
      </c>
      <c r="N370" t="s">
        <v>151</v>
      </c>
      <c r="O370">
        <v>0.10566571</v>
      </c>
      <c r="P370" t="s">
        <v>209</v>
      </c>
      <c r="Q370" s="4">
        <v>6.4163709999999999E-2</v>
      </c>
      <c r="R370" t="s">
        <v>151</v>
      </c>
      <c r="S370">
        <v>0.21649716999999999</v>
      </c>
      <c r="T370" t="s">
        <v>149</v>
      </c>
      <c r="U370">
        <v>9.2183134999999999E-2</v>
      </c>
      <c r="V370" t="s">
        <v>253</v>
      </c>
      <c r="W370">
        <v>7.137491E-2</v>
      </c>
    </row>
    <row r="371" spans="1:23" x14ac:dyDescent="0.25">
      <c r="A371" s="3" t="str">
        <f>HYPERLINK("http://ids.si.edu/ids/deliveryService?id=NMAH-AHB2012q63608","NMAH-AHB2012q63608")</f>
        <v>NMAH-AHB2012q63608</v>
      </c>
      <c r="B371" s="3" t="s">
        <v>1272</v>
      </c>
      <c r="C371" s="3">
        <v>715804</v>
      </c>
      <c r="D371" s="3" t="s">
        <v>1167</v>
      </c>
      <c r="E371" s="4" t="s">
        <v>1173</v>
      </c>
      <c r="F371" t="s">
        <v>91</v>
      </c>
      <c r="G371">
        <v>0.91031128168106079</v>
      </c>
      <c r="H371" t="s">
        <v>292</v>
      </c>
      <c r="I371">
        <v>0.90192526578903198</v>
      </c>
      <c r="J371" t="s">
        <v>1273</v>
      </c>
      <c r="K371" s="4">
        <v>0.60491150617599487</v>
      </c>
      <c r="L371" t="s">
        <v>312</v>
      </c>
      <c r="M371">
        <v>0.44841108000000002</v>
      </c>
      <c r="N371" t="s">
        <v>209</v>
      </c>
      <c r="O371">
        <v>0.34965311999999998</v>
      </c>
      <c r="P371" t="s">
        <v>627</v>
      </c>
      <c r="Q371" s="4">
        <v>3.3952929999999999E-2</v>
      </c>
      <c r="R371" t="s">
        <v>363</v>
      </c>
      <c r="S371">
        <v>0.27736909999999998</v>
      </c>
      <c r="T371" t="s">
        <v>627</v>
      </c>
      <c r="U371">
        <v>0.23296844999999999</v>
      </c>
      <c r="V371" t="s">
        <v>1238</v>
      </c>
      <c r="W371">
        <v>5.8989606999999999E-2</v>
      </c>
    </row>
    <row r="372" spans="1:23" x14ac:dyDescent="0.25">
      <c r="A372" s="3" t="str">
        <f>HYPERLINK("http://ids.si.edu/ids/deliveryService?id=NMAH-AHB2012q63547","NMAH-AHB2012q63547")</f>
        <v>NMAH-AHB2012q63547</v>
      </c>
      <c r="B372" s="3" t="s">
        <v>1274</v>
      </c>
      <c r="C372" s="3">
        <v>714563</v>
      </c>
      <c r="D372" s="3" t="s">
        <v>1167</v>
      </c>
      <c r="E372" s="4" t="s">
        <v>1173</v>
      </c>
      <c r="F372" t="s">
        <v>91</v>
      </c>
      <c r="G372">
        <v>0.96295428276062012</v>
      </c>
      <c r="H372" t="s">
        <v>1187</v>
      </c>
      <c r="I372">
        <v>0.86407142877578735</v>
      </c>
      <c r="J372" t="s">
        <v>1188</v>
      </c>
      <c r="K372" s="4">
        <v>0.79712414741516113</v>
      </c>
      <c r="L372" t="s">
        <v>362</v>
      </c>
      <c r="M372">
        <v>0.64144855999999995</v>
      </c>
      <c r="N372" t="s">
        <v>363</v>
      </c>
      <c r="O372">
        <v>7.3573830000000007E-2</v>
      </c>
      <c r="P372" t="s">
        <v>170</v>
      </c>
      <c r="Q372" s="4">
        <v>6.1473350000000003E-2</v>
      </c>
      <c r="R372" t="s">
        <v>363</v>
      </c>
      <c r="S372">
        <v>0.58995340000000007</v>
      </c>
      <c r="T372" t="s">
        <v>362</v>
      </c>
      <c r="U372">
        <v>9.1236230000000001E-2</v>
      </c>
      <c r="V372" t="s">
        <v>95</v>
      </c>
      <c r="W372">
        <v>4.8300455999999999E-2</v>
      </c>
    </row>
    <row r="373" spans="1:23" x14ac:dyDescent="0.25">
      <c r="A373" s="3" t="str">
        <f>HYPERLINK("http://ids.si.edu/ids/deliveryService?id=NMAH-AHB2017q126519","NMAH-AHB2017q126519")</f>
        <v>NMAH-AHB2017q126519</v>
      </c>
      <c r="B373" s="3" t="s">
        <v>1275</v>
      </c>
      <c r="C373" s="3">
        <v>1184284</v>
      </c>
      <c r="D373" s="3" t="s">
        <v>1167</v>
      </c>
      <c r="E373" s="4" t="s">
        <v>1276</v>
      </c>
      <c r="F373" t="s">
        <v>1200</v>
      </c>
      <c r="G373">
        <v>0.8466143012046814</v>
      </c>
      <c r="H373" t="s">
        <v>49</v>
      </c>
      <c r="I373">
        <v>0.63302761316299438</v>
      </c>
      <c r="J373" t="s">
        <v>50</v>
      </c>
      <c r="K373" s="4">
        <v>0.60706108808517456</v>
      </c>
      <c r="L373" t="s">
        <v>668</v>
      </c>
      <c r="M373">
        <v>0.50302862999999998</v>
      </c>
      <c r="N373" t="s">
        <v>150</v>
      </c>
      <c r="O373">
        <v>9.2878769999999999E-2</v>
      </c>
      <c r="P373" t="s">
        <v>442</v>
      </c>
      <c r="Q373" s="4">
        <v>9.2017139999999997E-2</v>
      </c>
      <c r="R373" t="s">
        <v>1277</v>
      </c>
      <c r="S373">
        <v>0.50331979999999998</v>
      </c>
      <c r="T373" t="s">
        <v>668</v>
      </c>
      <c r="U373">
        <v>0.11673482</v>
      </c>
      <c r="V373" t="s">
        <v>212</v>
      </c>
      <c r="W373">
        <v>6.3597039999999994E-2</v>
      </c>
    </row>
    <row r="374" spans="1:23" x14ac:dyDescent="0.25">
      <c r="A374" s="3" t="str">
        <f>HYPERLINK("http://ids.si.edu/ids/deliveryService?id=NMAH-AHB2012q65627","NMAH-AHB2012q65627")</f>
        <v>NMAH-AHB2012q65627</v>
      </c>
      <c r="B374" s="3" t="s">
        <v>1278</v>
      </c>
      <c r="C374" s="3">
        <v>716945</v>
      </c>
      <c r="D374" s="3" t="s">
        <v>1167</v>
      </c>
      <c r="E374" s="4" t="s">
        <v>1173</v>
      </c>
      <c r="F374" t="s">
        <v>49</v>
      </c>
      <c r="G374">
        <v>0.75226801633834839</v>
      </c>
      <c r="H374" t="s">
        <v>1016</v>
      </c>
      <c r="I374">
        <v>0.6991998553276062</v>
      </c>
      <c r="J374" t="s">
        <v>112</v>
      </c>
      <c r="K374" s="4">
        <v>0.68572378158569336</v>
      </c>
      <c r="L374" t="s">
        <v>66</v>
      </c>
      <c r="M374">
        <v>0.36461166</v>
      </c>
      <c r="N374" t="s">
        <v>1052</v>
      </c>
      <c r="O374">
        <v>0.19445713000000001</v>
      </c>
      <c r="P374" t="s">
        <v>209</v>
      </c>
      <c r="Q374" s="4">
        <v>8.5523730000000006E-2</v>
      </c>
      <c r="R374" t="s">
        <v>398</v>
      </c>
      <c r="S374">
        <v>0.35894954000000001</v>
      </c>
      <c r="T374" t="s">
        <v>363</v>
      </c>
      <c r="U374">
        <v>0.16160357</v>
      </c>
      <c r="V374" t="s">
        <v>260</v>
      </c>
      <c r="W374">
        <v>4.9946184999999997E-2</v>
      </c>
    </row>
    <row r="375" spans="1:23" x14ac:dyDescent="0.25">
      <c r="A375" s="3" t="str">
        <f>HYPERLINK("http://ids.si.edu/ids/deliveryService?id=NMAH-AHB2012q65060","NMAH-AHB2012q65060")</f>
        <v>NMAH-AHB2012q65060</v>
      </c>
      <c r="B375" s="3" t="s">
        <v>1279</v>
      </c>
      <c r="C375" s="3">
        <v>720000</v>
      </c>
      <c r="D375" s="3" t="s">
        <v>1167</v>
      </c>
      <c r="E375" s="4" t="s">
        <v>1173</v>
      </c>
      <c r="F375" t="s">
        <v>91</v>
      </c>
      <c r="G375">
        <v>0.92529410123825073</v>
      </c>
      <c r="H375" t="s">
        <v>1280</v>
      </c>
      <c r="I375">
        <v>0.82319903373718262</v>
      </c>
      <c r="J375" t="s">
        <v>1174</v>
      </c>
      <c r="K375" s="4">
        <v>0.8229515552520752</v>
      </c>
      <c r="L375" t="s">
        <v>363</v>
      </c>
      <c r="M375">
        <v>0.15126301</v>
      </c>
      <c r="N375" t="s">
        <v>1052</v>
      </c>
      <c r="O375">
        <v>9.9758639999999996E-2</v>
      </c>
      <c r="P375" t="s">
        <v>673</v>
      </c>
      <c r="Q375" s="4">
        <v>5.3106385999999998E-2</v>
      </c>
      <c r="R375" t="s">
        <v>363</v>
      </c>
      <c r="S375">
        <v>0.45225492</v>
      </c>
      <c r="T375" t="s">
        <v>312</v>
      </c>
      <c r="U375">
        <v>8.3650335999999992E-2</v>
      </c>
      <c r="V375" t="s">
        <v>627</v>
      </c>
      <c r="W375">
        <v>5.5870824000000013E-2</v>
      </c>
    </row>
    <row r="376" spans="1:23" x14ac:dyDescent="0.25">
      <c r="A376" s="3" t="str">
        <f>HYPERLINK("http://ids.si.edu/ids/deliveryService?id=NMAH-RWS2012-05323","NMAH-RWS2012-05323")</f>
        <v>NMAH-RWS2012-05323</v>
      </c>
      <c r="B376" s="3" t="s">
        <v>1281</v>
      </c>
      <c r="C376" s="3">
        <v>2021</v>
      </c>
      <c r="D376" s="3" t="s">
        <v>1167</v>
      </c>
      <c r="E376" s="4" t="s">
        <v>1282</v>
      </c>
      <c r="F376" t="s">
        <v>736</v>
      </c>
      <c r="G376">
        <v>0.9628557562828064</v>
      </c>
      <c r="H376" t="s">
        <v>1283</v>
      </c>
      <c r="I376">
        <v>0.6496889591217041</v>
      </c>
      <c r="J376" t="s">
        <v>1284</v>
      </c>
      <c r="K376" s="4">
        <v>0.6396147608757019</v>
      </c>
      <c r="L376" t="s">
        <v>82</v>
      </c>
      <c r="M376">
        <v>0.55327609999999994</v>
      </c>
      <c r="N376" t="s">
        <v>83</v>
      </c>
      <c r="O376">
        <v>4.0704094000000003E-2</v>
      </c>
      <c r="P376" t="s">
        <v>620</v>
      </c>
      <c r="Q376" s="4">
        <v>1.8435353000000002E-2</v>
      </c>
      <c r="R376" t="s">
        <v>82</v>
      </c>
      <c r="S376">
        <v>0.21109765999999999</v>
      </c>
      <c r="T376" t="s">
        <v>1215</v>
      </c>
      <c r="U376">
        <v>0.18597351000000001</v>
      </c>
      <c r="V376" t="s">
        <v>495</v>
      </c>
      <c r="W376">
        <v>0.13298687000000001</v>
      </c>
    </row>
    <row r="377" spans="1:23" x14ac:dyDescent="0.25">
      <c r="A377" s="3" t="str">
        <f>HYPERLINK("http://ids.si.edu/ids/deliveryService?id=NMAH-AHB2012q63930","NMAH-AHB2012q63930")</f>
        <v>NMAH-AHB2012q63930</v>
      </c>
      <c r="B377" s="3" t="s">
        <v>1285</v>
      </c>
      <c r="C377" s="3">
        <v>1348604</v>
      </c>
      <c r="D377" s="3" t="s">
        <v>1167</v>
      </c>
      <c r="E377" s="4" t="s">
        <v>1286</v>
      </c>
      <c r="F377" t="s">
        <v>91</v>
      </c>
      <c r="G377">
        <v>0.91031128168106079</v>
      </c>
      <c r="H377" t="s">
        <v>132</v>
      </c>
      <c r="I377">
        <v>0.86494487524032593</v>
      </c>
      <c r="J377" t="s">
        <v>1187</v>
      </c>
      <c r="K377" s="4">
        <v>0.70331734418869019</v>
      </c>
      <c r="L377" t="s">
        <v>627</v>
      </c>
      <c r="M377">
        <v>0.15716329000000001</v>
      </c>
      <c r="N377" t="s">
        <v>365</v>
      </c>
      <c r="O377">
        <v>0.13152567000000001</v>
      </c>
      <c r="P377" t="s">
        <v>461</v>
      </c>
      <c r="Q377" s="4">
        <v>0.12981543000000001</v>
      </c>
      <c r="R377" t="s">
        <v>363</v>
      </c>
      <c r="S377">
        <v>0.12635109</v>
      </c>
      <c r="T377" t="s">
        <v>627</v>
      </c>
      <c r="U377">
        <v>9.5996970000000001E-2</v>
      </c>
      <c r="V377" t="s">
        <v>312</v>
      </c>
      <c r="W377">
        <v>8.4946826000000003E-2</v>
      </c>
    </row>
    <row r="378" spans="1:23" x14ac:dyDescent="0.25">
      <c r="A378" s="3" t="str">
        <f>HYPERLINK("http://ids.si.edu/ids/deliveryService?id=NMAH-AHB2017q127994","NMAH-AHB2017q127994")</f>
        <v>NMAH-AHB2017q127994</v>
      </c>
      <c r="B378" s="3" t="s">
        <v>1287</v>
      </c>
      <c r="C378" s="3">
        <v>3005</v>
      </c>
      <c r="D378" s="3" t="s">
        <v>1167</v>
      </c>
      <c r="E378" s="4" t="s">
        <v>1288</v>
      </c>
      <c r="F378" t="s">
        <v>91</v>
      </c>
      <c r="G378">
        <v>0.88283330202102661</v>
      </c>
      <c r="H378" t="s">
        <v>441</v>
      </c>
      <c r="I378">
        <v>0.6757805347442627</v>
      </c>
      <c r="J378" t="s">
        <v>256</v>
      </c>
      <c r="K378" s="4">
        <v>0.59585320949554443</v>
      </c>
      <c r="L378" t="s">
        <v>185</v>
      </c>
      <c r="M378">
        <v>0.53735830000000007</v>
      </c>
      <c r="N378" t="s">
        <v>151</v>
      </c>
      <c r="O378">
        <v>0.15697742000000001</v>
      </c>
      <c r="P378" t="s">
        <v>209</v>
      </c>
      <c r="Q378" s="4">
        <v>7.6152650000000002E-2</v>
      </c>
      <c r="R378" t="s">
        <v>151</v>
      </c>
      <c r="S378">
        <v>0.24025704000000001</v>
      </c>
      <c r="T378" t="s">
        <v>93</v>
      </c>
      <c r="U378">
        <v>0.20538302999999999</v>
      </c>
      <c r="V378" t="s">
        <v>149</v>
      </c>
      <c r="W378">
        <v>5.6954917000000001E-2</v>
      </c>
    </row>
    <row r="379" spans="1:23" x14ac:dyDescent="0.25">
      <c r="A379" s="3" t="str">
        <f>HYPERLINK("http://ids.si.edu/ids/deliveryService?id=NMAH-AHB2017q057114","NMAH-AHB2017q057114")</f>
        <v>NMAH-AHB2017q057114</v>
      </c>
      <c r="B379" s="3" t="s">
        <v>1289</v>
      </c>
      <c r="C379" s="3">
        <v>1318798</v>
      </c>
      <c r="D379" s="3" t="s">
        <v>1167</v>
      </c>
      <c r="E379" s="4" t="s">
        <v>1260</v>
      </c>
      <c r="F379" t="s">
        <v>61</v>
      </c>
      <c r="G379">
        <v>0.86929196119308472</v>
      </c>
      <c r="H379" t="s">
        <v>206</v>
      </c>
      <c r="I379">
        <v>0.70763480663299561</v>
      </c>
      <c r="J379" t="s">
        <v>486</v>
      </c>
      <c r="K379" s="4">
        <v>0.63505935668945313</v>
      </c>
      <c r="L379" t="s">
        <v>151</v>
      </c>
      <c r="M379">
        <v>0.25389093000000001</v>
      </c>
      <c r="N379" t="s">
        <v>460</v>
      </c>
      <c r="O379">
        <v>0.13318941000000001</v>
      </c>
      <c r="P379" t="s">
        <v>66</v>
      </c>
      <c r="Q379" s="4">
        <v>6.8391129999999994E-2</v>
      </c>
      <c r="R379" t="s">
        <v>151</v>
      </c>
      <c r="S379">
        <v>0.16326489</v>
      </c>
      <c r="T379" t="s">
        <v>209</v>
      </c>
      <c r="U379">
        <v>6.0072216999999997E-2</v>
      </c>
      <c r="V379" t="s">
        <v>460</v>
      </c>
      <c r="W379">
        <v>3.8272872999999999E-2</v>
      </c>
    </row>
    <row r="380" spans="1:23" x14ac:dyDescent="0.25">
      <c r="A380" s="3" t="str">
        <f>HYPERLINK("http://ids.si.edu/ids/deliveryService?id=NMAH-AHB2017q054418","NMAH-AHB2017q054418")</f>
        <v>NMAH-AHB2017q054418</v>
      </c>
      <c r="B380" s="3" t="s">
        <v>1290</v>
      </c>
      <c r="C380" s="3">
        <v>1391974</v>
      </c>
      <c r="D380" s="3" t="s">
        <v>1167</v>
      </c>
      <c r="E380" s="4" t="s">
        <v>925</v>
      </c>
      <c r="F380" t="s">
        <v>90</v>
      </c>
      <c r="G380">
        <v>0.68211978673934937</v>
      </c>
      <c r="L380" t="s">
        <v>141</v>
      </c>
      <c r="M380">
        <v>0.58006745999999998</v>
      </c>
      <c r="N380" t="s">
        <v>239</v>
      </c>
      <c r="O380">
        <v>0.116808146</v>
      </c>
      <c r="P380" t="s">
        <v>389</v>
      </c>
      <c r="Q380" s="4">
        <v>8.87603E-2</v>
      </c>
      <c r="R380" t="s">
        <v>141</v>
      </c>
      <c r="S380">
        <v>0.8218468000000001</v>
      </c>
      <c r="T380" t="s">
        <v>239</v>
      </c>
      <c r="U380">
        <v>8.5961770000000007E-2</v>
      </c>
      <c r="V380" t="s">
        <v>389</v>
      </c>
      <c r="W380">
        <v>1.7279537000000001E-2</v>
      </c>
    </row>
    <row r="381" spans="1:23" x14ac:dyDescent="0.25">
      <c r="A381" s="3" t="str">
        <f>HYPERLINK("http://ids.si.edu/ids/deliveryService?id=NMAH-AHB2017q060307","NMAH-AHB2017q060307")</f>
        <v>NMAH-AHB2017q060307</v>
      </c>
      <c r="B381" s="3" t="s">
        <v>1291</v>
      </c>
      <c r="C381" s="3">
        <v>2852</v>
      </c>
      <c r="D381" s="3" t="s">
        <v>1167</v>
      </c>
      <c r="E381" s="4" t="s">
        <v>1292</v>
      </c>
      <c r="L381" t="s">
        <v>53</v>
      </c>
      <c r="M381">
        <v>0.25006613</v>
      </c>
      <c r="N381" t="s">
        <v>389</v>
      </c>
      <c r="O381">
        <v>0.14620851000000001</v>
      </c>
      <c r="P381" t="s">
        <v>83</v>
      </c>
      <c r="Q381" s="4">
        <v>8.638651E-2</v>
      </c>
      <c r="R381" t="s">
        <v>83</v>
      </c>
      <c r="S381">
        <v>0.2583838</v>
      </c>
      <c r="T381" t="s">
        <v>159</v>
      </c>
      <c r="U381">
        <v>0.22465542999999999</v>
      </c>
      <c r="V381" t="s">
        <v>389</v>
      </c>
      <c r="W381">
        <v>9.0231909999999999E-2</v>
      </c>
    </row>
    <row r="382" spans="1:23" x14ac:dyDescent="0.25">
      <c r="A382" s="3" t="str">
        <f>HYPERLINK("http://ids.si.edu/ids/deliveryService?id=NMAH-AHB2012q62983","NMAH-AHB2012q62983")</f>
        <v>NMAH-AHB2012q62983</v>
      </c>
      <c r="B382" s="3" t="s">
        <v>1293</v>
      </c>
      <c r="C382" s="3">
        <v>1298480</v>
      </c>
      <c r="D382" s="3" t="s">
        <v>1167</v>
      </c>
      <c r="E382" s="4" t="s">
        <v>1173</v>
      </c>
      <c r="F382" t="s">
        <v>1188</v>
      </c>
      <c r="G382">
        <v>0.96886986494064331</v>
      </c>
      <c r="H382" t="s">
        <v>1294</v>
      </c>
      <c r="I382">
        <v>0.8854401707649231</v>
      </c>
      <c r="J382" t="s">
        <v>91</v>
      </c>
      <c r="K382" s="4">
        <v>0.88283330202102661</v>
      </c>
      <c r="L382" t="s">
        <v>627</v>
      </c>
      <c r="M382">
        <v>0.46148085999999999</v>
      </c>
      <c r="N382" t="s">
        <v>983</v>
      </c>
      <c r="O382">
        <v>0.16478366999999999</v>
      </c>
      <c r="P382" t="s">
        <v>923</v>
      </c>
      <c r="Q382" s="4">
        <v>6.2804885000000005E-2</v>
      </c>
      <c r="R382" t="s">
        <v>689</v>
      </c>
      <c r="S382">
        <v>0.1380912</v>
      </c>
      <c r="T382" t="s">
        <v>363</v>
      </c>
      <c r="U382">
        <v>0.13252923999999999</v>
      </c>
      <c r="V382" t="s">
        <v>627</v>
      </c>
      <c r="W382">
        <v>0.12543262999999999</v>
      </c>
    </row>
    <row r="383" spans="1:23" x14ac:dyDescent="0.25">
      <c r="A383" s="3" t="str">
        <f>HYPERLINK("http://ids.si.edu/ids/deliveryService?id=NMAH-AHB2017q058201","NMAH-AHB2017q058201")</f>
        <v>NMAH-AHB2017q058201</v>
      </c>
      <c r="B383" s="3" t="s">
        <v>1295</v>
      </c>
      <c r="C383" s="3">
        <v>1407185</v>
      </c>
      <c r="D383" s="3" t="s">
        <v>1167</v>
      </c>
      <c r="E383" s="4" t="s">
        <v>1296</v>
      </c>
      <c r="F383" t="s">
        <v>1297</v>
      </c>
      <c r="G383">
        <v>0.76288658380508423</v>
      </c>
      <c r="H383" t="s">
        <v>1298</v>
      </c>
      <c r="I383">
        <v>0.69829177856445313</v>
      </c>
      <c r="J383" t="s">
        <v>1299</v>
      </c>
      <c r="K383" s="4">
        <v>0.52774608135223389</v>
      </c>
      <c r="L383" t="s">
        <v>879</v>
      </c>
      <c r="M383">
        <v>0.14738462999999999</v>
      </c>
      <c r="N383" t="s">
        <v>159</v>
      </c>
      <c r="O383">
        <v>7.0102860000000003E-2</v>
      </c>
      <c r="P383" t="s">
        <v>93</v>
      </c>
      <c r="Q383" s="4">
        <v>5.8499639999999999E-2</v>
      </c>
      <c r="R383" t="s">
        <v>159</v>
      </c>
      <c r="S383">
        <v>0.22762636999999999</v>
      </c>
      <c r="T383" t="s">
        <v>151</v>
      </c>
      <c r="U383">
        <v>0.12655284</v>
      </c>
      <c r="V383" t="s">
        <v>66</v>
      </c>
      <c r="W383">
        <v>7.1891060000000007E-2</v>
      </c>
    </row>
    <row r="384" spans="1:23" x14ac:dyDescent="0.25">
      <c r="A384" s="3" t="str">
        <f>HYPERLINK("http://ids.si.edu/ids/deliveryService?id=NMAH-AHB2017q061329","NMAH-AHB2017q061329")</f>
        <v>NMAH-AHB2017q061329</v>
      </c>
      <c r="B384" s="3" t="s">
        <v>1300</v>
      </c>
      <c r="C384" s="3">
        <v>2650</v>
      </c>
      <c r="D384" s="3" t="s">
        <v>1167</v>
      </c>
      <c r="E384" s="4" t="s">
        <v>1301</v>
      </c>
      <c r="F384" t="s">
        <v>574</v>
      </c>
      <c r="G384">
        <v>0.94534951448440552</v>
      </c>
      <c r="H384" t="s">
        <v>1244</v>
      </c>
      <c r="I384">
        <v>0.85166168212890625</v>
      </c>
      <c r="J384" t="s">
        <v>929</v>
      </c>
      <c r="K384" s="4">
        <v>0.79891425371170044</v>
      </c>
      <c r="L384" t="s">
        <v>416</v>
      </c>
      <c r="M384">
        <v>0.15491221999999999</v>
      </c>
      <c r="N384" t="s">
        <v>984</v>
      </c>
      <c r="O384">
        <v>0.1260483</v>
      </c>
      <c r="P384" t="s">
        <v>821</v>
      </c>
      <c r="Q384" s="4">
        <v>8.873665E-2</v>
      </c>
      <c r="R384" t="s">
        <v>416</v>
      </c>
      <c r="S384">
        <v>0.43857306000000001</v>
      </c>
      <c r="T384" t="s">
        <v>940</v>
      </c>
      <c r="U384">
        <v>9.7657040000000001E-2</v>
      </c>
      <c r="V384" t="s">
        <v>984</v>
      </c>
      <c r="W384">
        <v>9.4987205999999991E-2</v>
      </c>
    </row>
    <row r="385" spans="1:23" x14ac:dyDescent="0.25">
      <c r="A385" s="3" t="str">
        <f>HYPERLINK("http://ids.si.edu/ids/deliveryService?id=NMAH-AHB2017q055837","NMAH-AHB2017q055837")</f>
        <v>NMAH-AHB2017q055837</v>
      </c>
      <c r="B385" s="3" t="s">
        <v>1302</v>
      </c>
      <c r="C385" s="3">
        <v>1464994</v>
      </c>
      <c r="D385" s="3" t="s">
        <v>1167</v>
      </c>
      <c r="E385" s="4" t="s">
        <v>1303</v>
      </c>
      <c r="F385" t="s">
        <v>49</v>
      </c>
      <c r="G385">
        <v>0.74066400527954102</v>
      </c>
      <c r="H385" t="s">
        <v>50</v>
      </c>
      <c r="I385">
        <v>0.69359874725341797</v>
      </c>
      <c r="J385" t="s">
        <v>188</v>
      </c>
      <c r="K385" s="4">
        <v>0.57736802101135254</v>
      </c>
      <c r="L385" t="s">
        <v>239</v>
      </c>
      <c r="M385">
        <v>0.37313913999999998</v>
      </c>
      <c r="N385" t="s">
        <v>829</v>
      </c>
      <c r="O385">
        <v>0.15627387000000001</v>
      </c>
      <c r="P385" t="s">
        <v>149</v>
      </c>
      <c r="Q385" s="4">
        <v>8.0682149999999994E-2</v>
      </c>
      <c r="R385" t="s">
        <v>261</v>
      </c>
      <c r="S385">
        <v>0.106460676</v>
      </c>
      <c r="T385" t="s">
        <v>369</v>
      </c>
      <c r="U385">
        <v>8.3861480000000002E-2</v>
      </c>
      <c r="V385" t="s">
        <v>312</v>
      </c>
      <c r="W385">
        <v>6.7496664999999997E-2</v>
      </c>
    </row>
    <row r="386" spans="1:23" x14ac:dyDescent="0.25">
      <c r="A386" s="3" t="str">
        <f>HYPERLINK("http://ids.si.edu/ids/deliveryService?id=NMAH-ET2015-03001","NMAH-ET2015-03001")</f>
        <v>NMAH-ET2015-03001</v>
      </c>
      <c r="B386" s="3" t="s">
        <v>1304</v>
      </c>
      <c r="C386" s="3">
        <v>1055</v>
      </c>
      <c r="D386" s="3" t="s">
        <v>1167</v>
      </c>
      <c r="E386" s="4" t="s">
        <v>1305</v>
      </c>
      <c r="F386" t="s">
        <v>974</v>
      </c>
      <c r="G386">
        <v>0.97454339265823364</v>
      </c>
      <c r="H386" t="s">
        <v>91</v>
      </c>
      <c r="I386">
        <v>0.88283330202102661</v>
      </c>
      <c r="J386" t="s">
        <v>809</v>
      </c>
      <c r="K386" s="4">
        <v>0.83604735136032104</v>
      </c>
      <c r="L386" t="s">
        <v>98</v>
      </c>
      <c r="M386">
        <v>0.20768882</v>
      </c>
      <c r="N386" t="s">
        <v>848</v>
      </c>
      <c r="O386">
        <v>0.19949140000000001</v>
      </c>
      <c r="P386" t="s">
        <v>86</v>
      </c>
      <c r="Q386" s="4">
        <v>0.18810493</v>
      </c>
      <c r="R386" t="s">
        <v>848</v>
      </c>
      <c r="S386">
        <v>0.62501245999999999</v>
      </c>
      <c r="T386" t="s">
        <v>897</v>
      </c>
      <c r="U386">
        <v>0.12573263000000001</v>
      </c>
      <c r="V386" t="s">
        <v>86</v>
      </c>
      <c r="W386">
        <v>5.4827932000000003E-2</v>
      </c>
    </row>
    <row r="387" spans="1:23" x14ac:dyDescent="0.25">
      <c r="A387" s="3" t="str">
        <f>HYPERLINK("http://ids.si.edu/ids/deliveryService?id=NMAH-AHB2017q058277","NMAH-AHB2017q058277")</f>
        <v>NMAH-AHB2017q058277</v>
      </c>
      <c r="B387" s="3" t="s">
        <v>1306</v>
      </c>
      <c r="C387" s="3">
        <v>1317568</v>
      </c>
      <c r="D387" s="3" t="s">
        <v>1167</v>
      </c>
      <c r="E387" s="4" t="s">
        <v>1230</v>
      </c>
      <c r="F387" t="s">
        <v>297</v>
      </c>
      <c r="G387">
        <v>0.78522652387619019</v>
      </c>
      <c r="H387" t="s">
        <v>38</v>
      </c>
      <c r="I387">
        <v>0.75547701120376587</v>
      </c>
      <c r="J387" t="s">
        <v>1307</v>
      </c>
      <c r="K387" s="4">
        <v>0.69087255001068115</v>
      </c>
      <c r="L387" t="s">
        <v>66</v>
      </c>
      <c r="M387">
        <v>0.24468955000000001</v>
      </c>
      <c r="N387" t="s">
        <v>678</v>
      </c>
      <c r="O387">
        <v>8.2604269999999994E-2</v>
      </c>
      <c r="P387" t="s">
        <v>648</v>
      </c>
      <c r="Q387" s="4">
        <v>6.8965520000000002E-2</v>
      </c>
      <c r="R387" t="s">
        <v>66</v>
      </c>
      <c r="S387">
        <v>0.51722913999999998</v>
      </c>
      <c r="T387" t="s">
        <v>151</v>
      </c>
      <c r="U387">
        <v>0.16656545</v>
      </c>
      <c r="V387" t="s">
        <v>209</v>
      </c>
      <c r="W387">
        <v>3.4496546000000003E-2</v>
      </c>
    </row>
    <row r="388" spans="1:23" x14ac:dyDescent="0.25">
      <c r="A388" s="3" t="str">
        <f>HYPERLINK("http://ids.si.edu/ids/deliveryService?id=NMAH-AHB2012q67256","NMAH-AHB2012q67256")</f>
        <v>NMAH-AHB2012q67256</v>
      </c>
      <c r="B388" s="3" t="s">
        <v>1308</v>
      </c>
      <c r="C388" s="3">
        <v>718611</v>
      </c>
      <c r="D388" s="3" t="s">
        <v>1167</v>
      </c>
      <c r="E388" s="4" t="s">
        <v>1173</v>
      </c>
      <c r="F388" t="s">
        <v>61</v>
      </c>
      <c r="G388">
        <v>0.85248786211013794</v>
      </c>
      <c r="H388" t="s">
        <v>486</v>
      </c>
      <c r="I388">
        <v>0.74789005517959595</v>
      </c>
      <c r="J388" t="s">
        <v>112</v>
      </c>
      <c r="K388" s="4">
        <v>0.68572378158569336</v>
      </c>
      <c r="L388" t="s">
        <v>66</v>
      </c>
      <c r="M388">
        <v>0.23718323999999999</v>
      </c>
      <c r="N388" t="s">
        <v>83</v>
      </c>
      <c r="O388">
        <v>0.14624913</v>
      </c>
      <c r="P388" t="s">
        <v>151</v>
      </c>
      <c r="Q388" s="4">
        <v>0.10525470000000001</v>
      </c>
      <c r="R388" t="s">
        <v>151</v>
      </c>
      <c r="S388">
        <v>0.30789968000000001</v>
      </c>
      <c r="T388" t="s">
        <v>363</v>
      </c>
      <c r="U388">
        <v>0.10264566</v>
      </c>
      <c r="V388" t="s">
        <v>253</v>
      </c>
      <c r="W388">
        <v>7.4722650000000002E-2</v>
      </c>
    </row>
    <row r="389" spans="1:23" x14ac:dyDescent="0.25">
      <c r="A389" s="3" t="str">
        <f>HYPERLINK("http://ids.si.edu/ids/deliveryService?id=NMAH-AHB2017q060319","NMAH-AHB2017q060319")</f>
        <v>NMAH-AHB2017q060319</v>
      </c>
      <c r="B389" s="3" t="s">
        <v>1309</v>
      </c>
      <c r="C389" s="3">
        <v>2843</v>
      </c>
      <c r="D389" s="3" t="s">
        <v>1167</v>
      </c>
      <c r="E389" s="4" t="s">
        <v>1292</v>
      </c>
      <c r="F389" t="s">
        <v>132</v>
      </c>
      <c r="G389">
        <v>0.86494487524032593</v>
      </c>
      <c r="H389" t="s">
        <v>1310</v>
      </c>
      <c r="I389">
        <v>0.79577732086181641</v>
      </c>
      <c r="J389" t="s">
        <v>1311</v>
      </c>
      <c r="K389" s="4">
        <v>0.69268256425857544</v>
      </c>
      <c r="L389" t="s">
        <v>53</v>
      </c>
      <c r="M389">
        <v>0.24598265999999999</v>
      </c>
      <c r="N389" t="s">
        <v>389</v>
      </c>
      <c r="O389">
        <v>0.14024374000000001</v>
      </c>
      <c r="P389" t="s">
        <v>83</v>
      </c>
      <c r="Q389" s="4">
        <v>6.3024510000000006E-2</v>
      </c>
      <c r="R389" t="s">
        <v>159</v>
      </c>
      <c r="S389">
        <v>0.35043317000000002</v>
      </c>
      <c r="T389" t="s">
        <v>83</v>
      </c>
      <c r="U389">
        <v>0.10499168</v>
      </c>
      <c r="V389" t="s">
        <v>151</v>
      </c>
      <c r="W389">
        <v>7.4668830000000005E-2</v>
      </c>
    </row>
    <row r="390" spans="1:23" x14ac:dyDescent="0.25">
      <c r="A390" s="3" t="str">
        <f>HYPERLINK("http://ids.si.edu/ids/deliveryService?id=NMAH-AHB2012q66339","NMAH-AHB2012q66339")</f>
        <v>NMAH-AHB2012q66339</v>
      </c>
      <c r="B390" s="3" t="s">
        <v>1312</v>
      </c>
      <c r="C390" s="3">
        <v>737738</v>
      </c>
      <c r="D390" s="3" t="s">
        <v>1167</v>
      </c>
      <c r="E390" s="4" t="s">
        <v>1173</v>
      </c>
      <c r="F390" t="s">
        <v>91</v>
      </c>
      <c r="G390">
        <v>0.94139593839645386</v>
      </c>
      <c r="H390" t="s">
        <v>1187</v>
      </c>
      <c r="I390">
        <v>0.66538041830062866</v>
      </c>
      <c r="J390" t="s">
        <v>1313</v>
      </c>
      <c r="K390" s="4">
        <v>0.62831825017929077</v>
      </c>
      <c r="L390" t="s">
        <v>940</v>
      </c>
      <c r="M390">
        <v>0.15707533000000001</v>
      </c>
      <c r="N390" t="s">
        <v>648</v>
      </c>
      <c r="O390">
        <v>6.5216869999999996E-2</v>
      </c>
      <c r="P390" t="s">
        <v>1042</v>
      </c>
      <c r="Q390" s="4">
        <v>6.4607289999999998E-2</v>
      </c>
      <c r="R390" t="s">
        <v>134</v>
      </c>
      <c r="S390">
        <v>0.12531312</v>
      </c>
      <c r="T390" t="s">
        <v>363</v>
      </c>
      <c r="U390">
        <v>0.10925638</v>
      </c>
      <c r="V390" t="s">
        <v>66</v>
      </c>
      <c r="W390">
        <v>4.8677779999999997E-2</v>
      </c>
    </row>
    <row r="391" spans="1:23" x14ac:dyDescent="0.25">
      <c r="A391" s="3" t="str">
        <f>HYPERLINK("http://ids.si.edu/ids/deliveryService?id=NMAH-AHB2017q054351","NMAH-AHB2017q054351")</f>
        <v>NMAH-AHB2017q054351</v>
      </c>
      <c r="B391" s="3" t="s">
        <v>1314</v>
      </c>
      <c r="C391" s="3">
        <v>1167</v>
      </c>
      <c r="D391" s="3" t="s">
        <v>1167</v>
      </c>
      <c r="E391" s="4" t="s">
        <v>1315</v>
      </c>
      <c r="F391" t="s">
        <v>50</v>
      </c>
      <c r="G391">
        <v>0.5114516019821167</v>
      </c>
      <c r="L391" t="s">
        <v>430</v>
      </c>
      <c r="M391">
        <v>0.49901253000000001</v>
      </c>
      <c r="N391" t="s">
        <v>150</v>
      </c>
      <c r="O391">
        <v>7.7263884000000005E-2</v>
      </c>
      <c r="P391" t="s">
        <v>523</v>
      </c>
      <c r="Q391" s="4">
        <v>5.5435684000000013E-2</v>
      </c>
      <c r="R391" t="s">
        <v>141</v>
      </c>
      <c r="S391">
        <v>0.24427546999999999</v>
      </c>
      <c r="T391" t="s">
        <v>926</v>
      </c>
      <c r="U391">
        <v>7.2580499999999992E-2</v>
      </c>
      <c r="V391" t="s">
        <v>389</v>
      </c>
      <c r="W391">
        <v>4.8323895999999998E-2</v>
      </c>
    </row>
    <row r="392" spans="1:23" x14ac:dyDescent="0.25">
      <c r="A392" s="3" t="str">
        <f>HYPERLINK("http://ids.si.edu/ids/deliveryService?id=NMAH-AHB2017q062771","NMAH-AHB2017q062771")</f>
        <v>NMAH-AHB2017q062771</v>
      </c>
      <c r="B392" s="3" t="s">
        <v>1316</v>
      </c>
      <c r="C392" s="3">
        <v>1183775</v>
      </c>
      <c r="D392" s="3" t="s">
        <v>1167</v>
      </c>
      <c r="E392" s="4" t="s">
        <v>1317</v>
      </c>
      <c r="F392" t="s">
        <v>90</v>
      </c>
      <c r="G392">
        <v>0.71959853172302246</v>
      </c>
      <c r="H392" t="s">
        <v>49</v>
      </c>
      <c r="I392">
        <v>0.62747007608413696</v>
      </c>
      <c r="J392" t="s">
        <v>50</v>
      </c>
      <c r="K392" s="4">
        <v>0.60706108808517456</v>
      </c>
      <c r="L392" t="s">
        <v>492</v>
      </c>
      <c r="M392">
        <v>0.28150183000000001</v>
      </c>
      <c r="N392" t="s">
        <v>363</v>
      </c>
      <c r="O392">
        <v>0.17420485999999999</v>
      </c>
      <c r="P392" t="s">
        <v>552</v>
      </c>
      <c r="Q392" s="4">
        <v>8.8555759999999997E-2</v>
      </c>
      <c r="R392" t="s">
        <v>363</v>
      </c>
      <c r="S392">
        <v>0.27486549999999998</v>
      </c>
      <c r="T392" t="s">
        <v>149</v>
      </c>
      <c r="U392">
        <v>0.12734845</v>
      </c>
      <c r="V392" t="s">
        <v>689</v>
      </c>
      <c r="W392">
        <v>7.7987959999999995E-2</v>
      </c>
    </row>
    <row r="393" spans="1:23" x14ac:dyDescent="0.25">
      <c r="A393" s="3" t="str">
        <f>HYPERLINK("http://ids.si.edu/ids/deliveryService?id=NMAH-AHB2017q058717","NMAH-AHB2017q058717")</f>
        <v>NMAH-AHB2017q058717</v>
      </c>
      <c r="B393" s="3" t="s">
        <v>1318</v>
      </c>
      <c r="C393" s="3">
        <v>1329227</v>
      </c>
      <c r="D393" s="3" t="s">
        <v>1167</v>
      </c>
      <c r="E393" s="4" t="s">
        <v>1319</v>
      </c>
      <c r="F393" t="s">
        <v>91</v>
      </c>
      <c r="G393">
        <v>0.88283330202102661</v>
      </c>
      <c r="H393" t="s">
        <v>179</v>
      </c>
      <c r="I393">
        <v>0.67225527763366699</v>
      </c>
      <c r="J393" t="s">
        <v>615</v>
      </c>
      <c r="K393" s="4">
        <v>0.60989159345626831</v>
      </c>
      <c r="L393" t="s">
        <v>369</v>
      </c>
      <c r="M393">
        <v>0.32687226000000003</v>
      </c>
      <c r="N393" t="s">
        <v>84</v>
      </c>
      <c r="O393">
        <v>0.20888406000000001</v>
      </c>
      <c r="P393" t="s">
        <v>1261</v>
      </c>
      <c r="Q393" s="4">
        <v>2.9754507999999999E-2</v>
      </c>
      <c r="R393" t="s">
        <v>151</v>
      </c>
      <c r="S393">
        <v>0.12838413000000001</v>
      </c>
      <c r="T393" t="s">
        <v>66</v>
      </c>
      <c r="U393">
        <v>9.7017474000000006E-2</v>
      </c>
      <c r="V393" t="s">
        <v>495</v>
      </c>
      <c r="W393">
        <v>5.6492575000000003E-2</v>
      </c>
    </row>
    <row r="394" spans="1:23" x14ac:dyDescent="0.25">
      <c r="A394" s="3" t="str">
        <f>HYPERLINK("http://ids.si.edu/ids/deliveryService?id=NMAH-AHB2017q053479","NMAH-AHB2017q053479")</f>
        <v>NMAH-AHB2017q053479</v>
      </c>
      <c r="B394" s="3" t="s">
        <v>1320</v>
      </c>
      <c r="C394" s="3">
        <v>1464449</v>
      </c>
      <c r="D394" s="3" t="s">
        <v>1167</v>
      </c>
      <c r="E394" s="4" t="s">
        <v>1321</v>
      </c>
      <c r="F394" t="s">
        <v>727</v>
      </c>
      <c r="G394">
        <v>0.65663927793502808</v>
      </c>
      <c r="H394" t="s">
        <v>486</v>
      </c>
      <c r="I394">
        <v>0.64787983894348145</v>
      </c>
      <c r="L394" t="s">
        <v>66</v>
      </c>
      <c r="M394">
        <v>0.33564050000000001</v>
      </c>
      <c r="N394" t="s">
        <v>648</v>
      </c>
      <c r="O394">
        <v>0.20100103</v>
      </c>
      <c r="P394" t="s">
        <v>209</v>
      </c>
      <c r="Q394" s="4">
        <v>3.851682E-2</v>
      </c>
      <c r="R394" t="s">
        <v>66</v>
      </c>
      <c r="S394">
        <v>0.40856752000000002</v>
      </c>
      <c r="T394" t="s">
        <v>648</v>
      </c>
      <c r="U394">
        <v>6.9966449999999999E-2</v>
      </c>
      <c r="V394" t="s">
        <v>177</v>
      </c>
      <c r="W394">
        <v>5.2546780000000001E-2</v>
      </c>
    </row>
    <row r="395" spans="1:23" x14ac:dyDescent="0.25">
      <c r="A395" s="3" t="str">
        <f>HYPERLINK("http://ids.si.edu/ids/deliveryService?id=NMAH-AHB2017q125830","NMAH-AHB2017q125830")</f>
        <v>NMAH-AHB2017q125830</v>
      </c>
      <c r="B395" s="3" t="s">
        <v>1322</v>
      </c>
      <c r="C395" s="3">
        <v>2988</v>
      </c>
      <c r="D395" s="3" t="s">
        <v>1167</v>
      </c>
      <c r="E395" s="4" t="s">
        <v>1323</v>
      </c>
      <c r="F395" t="s">
        <v>91</v>
      </c>
      <c r="G395">
        <v>0.88283330202102661</v>
      </c>
      <c r="H395" t="s">
        <v>147</v>
      </c>
      <c r="I395">
        <v>0.52192670106887817</v>
      </c>
      <c r="L395" t="s">
        <v>460</v>
      </c>
      <c r="M395">
        <v>0.16998886999999999</v>
      </c>
      <c r="N395" t="s">
        <v>149</v>
      </c>
      <c r="O395">
        <v>0.12755786999999999</v>
      </c>
      <c r="P395" t="s">
        <v>1151</v>
      </c>
      <c r="Q395" s="4">
        <v>8.2658134000000008E-2</v>
      </c>
      <c r="R395" t="s">
        <v>685</v>
      </c>
      <c r="S395">
        <v>0.42321602000000003</v>
      </c>
      <c r="T395" t="s">
        <v>1151</v>
      </c>
      <c r="U395">
        <v>5.6513081999999999E-2</v>
      </c>
      <c r="V395" t="s">
        <v>151</v>
      </c>
      <c r="W395">
        <v>5.5288575999999999E-2</v>
      </c>
    </row>
    <row r="396" spans="1:23" x14ac:dyDescent="0.25">
      <c r="A396" s="3" t="str">
        <f>HYPERLINK("http://ids.si.edu/ids/deliveryService?id=NMAH-AHB2012q60933-000001","NMAH-AHB2012q60933-000001")</f>
        <v>NMAH-AHB2012q60933-000001</v>
      </c>
      <c r="B396" s="3" t="s">
        <v>1324</v>
      </c>
      <c r="C396" s="3">
        <v>714426</v>
      </c>
      <c r="D396" s="3" t="s">
        <v>1167</v>
      </c>
      <c r="E396" s="4" t="s">
        <v>1173</v>
      </c>
      <c r="F396" t="s">
        <v>91</v>
      </c>
      <c r="G396">
        <v>0.88283330202102661</v>
      </c>
      <c r="H396" t="s">
        <v>1174</v>
      </c>
      <c r="I396">
        <v>0.82901805639266968</v>
      </c>
      <c r="J396" t="s">
        <v>1325</v>
      </c>
      <c r="K396" s="4">
        <v>0.82805651426315308</v>
      </c>
      <c r="L396" t="s">
        <v>804</v>
      </c>
      <c r="M396">
        <v>0.24725927</v>
      </c>
      <c r="N396" t="s">
        <v>312</v>
      </c>
      <c r="O396">
        <v>0.14472161</v>
      </c>
      <c r="P396" t="s">
        <v>95</v>
      </c>
      <c r="Q396" s="4">
        <v>6.3236550000000002E-2</v>
      </c>
      <c r="R396" t="s">
        <v>364</v>
      </c>
      <c r="S396">
        <v>0.2795435</v>
      </c>
      <c r="T396" t="s">
        <v>95</v>
      </c>
      <c r="U396">
        <v>0.20306115999999999</v>
      </c>
      <c r="V396" t="s">
        <v>312</v>
      </c>
      <c r="W396">
        <v>6.6646339999999998E-2</v>
      </c>
    </row>
    <row r="397" spans="1:23" x14ac:dyDescent="0.25">
      <c r="A397" s="3" t="str">
        <f>HYPERLINK("http://ids.si.edu/ids/deliveryService?id=NMAH-AHB2013q069541","NMAH-AHB2013q069541")</f>
        <v>NMAH-AHB2013q069541</v>
      </c>
      <c r="B397" s="3" t="s">
        <v>1326</v>
      </c>
      <c r="C397" s="3">
        <v>1273558</v>
      </c>
      <c r="D397" s="3" t="s">
        <v>1167</v>
      </c>
      <c r="E397" s="4" t="s">
        <v>1327</v>
      </c>
      <c r="F397" t="s">
        <v>91</v>
      </c>
      <c r="G397">
        <v>0.91031128168106079</v>
      </c>
      <c r="H397" t="s">
        <v>892</v>
      </c>
      <c r="I397">
        <v>0.86195665597915649</v>
      </c>
      <c r="J397" t="s">
        <v>147</v>
      </c>
      <c r="K397" s="4">
        <v>0.84524363279342651</v>
      </c>
      <c r="L397" t="s">
        <v>209</v>
      </c>
      <c r="M397">
        <v>0.18468209999999999</v>
      </c>
      <c r="N397" t="s">
        <v>65</v>
      </c>
      <c r="O397">
        <v>0.18238588999999999</v>
      </c>
      <c r="P397" t="s">
        <v>151</v>
      </c>
      <c r="Q397" s="4">
        <v>0.12502063999999999</v>
      </c>
      <c r="R397" t="s">
        <v>152</v>
      </c>
      <c r="S397">
        <v>0.14045472000000001</v>
      </c>
      <c r="T397" t="s">
        <v>151</v>
      </c>
      <c r="U397">
        <v>0.13703187999999999</v>
      </c>
      <c r="V397" t="s">
        <v>312</v>
      </c>
      <c r="W397">
        <v>9.1343954000000005E-2</v>
      </c>
    </row>
    <row r="398" spans="1:23" x14ac:dyDescent="0.25">
      <c r="A398" s="3" t="str">
        <f>HYPERLINK("http://ids.si.edu/ids/deliveryService?id=NMAH-AHB2012q60990-000001","NMAH-AHB2012q60990-000001")</f>
        <v>NMAH-AHB2012q60990-000001</v>
      </c>
      <c r="B398" s="3" t="s">
        <v>1328</v>
      </c>
      <c r="C398" s="3">
        <v>1291755</v>
      </c>
      <c r="D398" s="3" t="s">
        <v>1167</v>
      </c>
      <c r="E398" s="4" t="s">
        <v>1173</v>
      </c>
      <c r="F398" t="s">
        <v>1188</v>
      </c>
      <c r="G398">
        <v>0.94806313514709473</v>
      </c>
      <c r="H398" t="s">
        <v>1280</v>
      </c>
      <c r="I398">
        <v>0.94288754463195801</v>
      </c>
      <c r="J398" t="s">
        <v>91</v>
      </c>
      <c r="K398" s="4">
        <v>0.91031128168106079</v>
      </c>
      <c r="L398" t="s">
        <v>312</v>
      </c>
      <c r="M398">
        <v>0.61247689999999999</v>
      </c>
      <c r="N398" t="s">
        <v>363</v>
      </c>
      <c r="O398">
        <v>0.31158071999999998</v>
      </c>
      <c r="P398" t="s">
        <v>627</v>
      </c>
      <c r="Q398" s="4">
        <v>2.3945114E-2</v>
      </c>
      <c r="R398" t="s">
        <v>312</v>
      </c>
      <c r="S398">
        <v>0.69187116999999998</v>
      </c>
      <c r="T398" t="s">
        <v>363</v>
      </c>
      <c r="U398">
        <v>9.2215610000000003E-2</v>
      </c>
      <c r="V398" t="s">
        <v>627</v>
      </c>
      <c r="W398">
        <v>3.0443797000000002E-2</v>
      </c>
    </row>
    <row r="399" spans="1:23" x14ac:dyDescent="0.25">
      <c r="A399" s="3" t="str">
        <f>HYPERLINK("http://ids.si.edu/ids/deliveryService?id=NMAH-AHB2017q054335","NMAH-AHB2017q054335")</f>
        <v>NMAH-AHB2017q054335</v>
      </c>
      <c r="B399" s="3" t="s">
        <v>1329</v>
      </c>
      <c r="C399" s="3">
        <v>2476</v>
      </c>
      <c r="D399" s="3" t="s">
        <v>1167</v>
      </c>
      <c r="E399" s="4" t="s">
        <v>1330</v>
      </c>
      <c r="F399" t="s">
        <v>91</v>
      </c>
      <c r="G399">
        <v>0.88283330202102661</v>
      </c>
      <c r="H399" t="s">
        <v>147</v>
      </c>
      <c r="I399">
        <v>0.84727251529693604</v>
      </c>
      <c r="J399" t="s">
        <v>256</v>
      </c>
      <c r="K399" s="4">
        <v>0.78474724292755127</v>
      </c>
      <c r="L399" t="s">
        <v>673</v>
      </c>
      <c r="M399">
        <v>0.20969009999999999</v>
      </c>
      <c r="N399" t="s">
        <v>411</v>
      </c>
      <c r="O399">
        <v>8.8802814000000008E-2</v>
      </c>
      <c r="P399" t="s">
        <v>184</v>
      </c>
      <c r="Q399" s="4">
        <v>7.4343359999999997E-2</v>
      </c>
      <c r="R399" t="s">
        <v>152</v>
      </c>
      <c r="S399">
        <v>0.60748475999999996</v>
      </c>
      <c r="T399" t="s">
        <v>184</v>
      </c>
      <c r="U399">
        <v>0.21171609</v>
      </c>
      <c r="V399" t="s">
        <v>673</v>
      </c>
      <c r="W399">
        <v>2.2362111E-2</v>
      </c>
    </row>
    <row r="400" spans="1:23" x14ac:dyDescent="0.25">
      <c r="A400" s="3" t="str">
        <f>HYPERLINK("http://ids.si.edu/ids/deliveryService?id=NMAH-AHB2013q072830","NMAH-AHB2013q072830")</f>
        <v>NMAH-AHB2013q072830</v>
      </c>
      <c r="B400" s="3" t="s">
        <v>1331</v>
      </c>
      <c r="C400" s="3">
        <v>716303</v>
      </c>
      <c r="D400" s="3" t="s">
        <v>1167</v>
      </c>
      <c r="E400" s="4" t="s">
        <v>1332</v>
      </c>
      <c r="F400" t="s">
        <v>49</v>
      </c>
      <c r="G400">
        <v>0.76684033870697021</v>
      </c>
      <c r="H400" t="s">
        <v>50</v>
      </c>
      <c r="I400">
        <v>0.6591346263885498</v>
      </c>
      <c r="J400" t="s">
        <v>541</v>
      </c>
      <c r="K400" s="4">
        <v>0.52115780115127563</v>
      </c>
      <c r="L400" t="s">
        <v>149</v>
      </c>
      <c r="M400">
        <v>0.81785845999999995</v>
      </c>
      <c r="N400" t="s">
        <v>95</v>
      </c>
      <c r="O400">
        <v>0.1179424</v>
      </c>
      <c r="P400" t="s">
        <v>1099</v>
      </c>
      <c r="Q400" s="4">
        <v>1.9027315E-2</v>
      </c>
      <c r="R400" t="s">
        <v>93</v>
      </c>
      <c r="S400">
        <v>0.37803124999999999</v>
      </c>
      <c r="T400" t="s">
        <v>95</v>
      </c>
      <c r="U400">
        <v>0.13308622000000001</v>
      </c>
      <c r="V400" t="s">
        <v>149</v>
      </c>
      <c r="W400">
        <v>0.114057556</v>
      </c>
    </row>
    <row r="401" spans="1:23" x14ac:dyDescent="0.25">
      <c r="A401" s="3" t="str">
        <f>HYPERLINK("http://ids.si.edu/ids/deliveryService?id=NMAH-AHB2017q055449","NMAH-AHB2017q055449")</f>
        <v>NMAH-AHB2017q055449</v>
      </c>
      <c r="B401" s="3" t="s">
        <v>1333</v>
      </c>
      <c r="C401" s="3">
        <v>1336076</v>
      </c>
      <c r="D401" s="3" t="s">
        <v>1167</v>
      </c>
      <c r="E401" s="4" t="s">
        <v>1195</v>
      </c>
      <c r="F401" t="s">
        <v>256</v>
      </c>
      <c r="G401">
        <v>0.59585320949554443</v>
      </c>
      <c r="H401" t="s">
        <v>328</v>
      </c>
      <c r="I401">
        <v>0.56274110078811646</v>
      </c>
      <c r="L401" t="s">
        <v>82</v>
      </c>
      <c r="M401">
        <v>0.57297397000000005</v>
      </c>
      <c r="N401" t="s">
        <v>330</v>
      </c>
      <c r="O401">
        <v>9.3733220000000006E-2</v>
      </c>
      <c r="P401" t="s">
        <v>495</v>
      </c>
      <c r="Q401" s="4">
        <v>4.6793790000000002E-2</v>
      </c>
      <c r="R401" t="s">
        <v>389</v>
      </c>
      <c r="S401">
        <v>0.17244503</v>
      </c>
      <c r="T401" t="s">
        <v>151</v>
      </c>
      <c r="U401">
        <v>9.5241405000000001E-2</v>
      </c>
      <c r="V401" t="s">
        <v>93</v>
      </c>
      <c r="W401">
        <v>7.7183663999999999E-2</v>
      </c>
    </row>
    <row r="402" spans="1:23" x14ac:dyDescent="0.25">
      <c r="A402" s="3" t="str">
        <f>HYPERLINK("http://ids.si.edu/ids/deliveryService?id=NMAH-NMAH2005-11538","NMAH-NMAH2005-11538")</f>
        <v>NMAH-NMAH2005-11538</v>
      </c>
      <c r="B402" s="3" t="s">
        <v>1334</v>
      </c>
      <c r="C402" s="3">
        <v>1292350</v>
      </c>
      <c r="D402" s="3" t="s">
        <v>1167</v>
      </c>
      <c r="E402" s="4" t="s">
        <v>1335</v>
      </c>
      <c r="F402" t="s">
        <v>61</v>
      </c>
      <c r="G402">
        <v>0.85248786211013794</v>
      </c>
      <c r="H402" t="s">
        <v>112</v>
      </c>
      <c r="I402">
        <v>0.74956268072128296</v>
      </c>
      <c r="L402" t="s">
        <v>65</v>
      </c>
      <c r="M402">
        <v>0.21961415000000001</v>
      </c>
      <c r="N402" t="s">
        <v>209</v>
      </c>
      <c r="O402">
        <v>0.14094203999999999</v>
      </c>
      <c r="P402" t="s">
        <v>1238</v>
      </c>
      <c r="Q402" s="4">
        <v>5.1544079999999999E-2</v>
      </c>
      <c r="R402" t="s">
        <v>334</v>
      </c>
      <c r="S402">
        <v>0.26609139999999998</v>
      </c>
      <c r="T402" t="s">
        <v>1238</v>
      </c>
      <c r="U402">
        <v>0.15550177000000001</v>
      </c>
      <c r="V402" t="s">
        <v>627</v>
      </c>
      <c r="W402">
        <v>7.4581529999999993E-2</v>
      </c>
    </row>
    <row r="403" spans="1:23" x14ac:dyDescent="0.25">
      <c r="A403" s="3" t="str">
        <f>HYPERLINK("http://ids.si.edu/ids/deliveryService?id=NMAH-AHB2017q129873","NMAH-AHB2017q129873")</f>
        <v>NMAH-AHB2017q129873</v>
      </c>
      <c r="B403" s="3" t="s">
        <v>1336</v>
      </c>
      <c r="C403" s="3">
        <v>1341436</v>
      </c>
      <c r="D403" s="3" t="s">
        <v>1167</v>
      </c>
      <c r="E403" s="4" t="s">
        <v>1337</v>
      </c>
      <c r="F403" t="s">
        <v>736</v>
      </c>
      <c r="G403">
        <v>0.9628557562828064</v>
      </c>
      <c r="H403" t="s">
        <v>748</v>
      </c>
      <c r="I403">
        <v>0.90496718883514404</v>
      </c>
      <c r="J403" t="s">
        <v>61</v>
      </c>
      <c r="K403" s="4">
        <v>0.86929196119308472</v>
      </c>
      <c r="L403" t="s">
        <v>82</v>
      </c>
      <c r="M403">
        <v>0.26416144000000003</v>
      </c>
      <c r="N403" t="s">
        <v>1338</v>
      </c>
      <c r="O403">
        <v>0.15162218</v>
      </c>
      <c r="P403" t="s">
        <v>84</v>
      </c>
      <c r="Q403" s="4">
        <v>0.11123929</v>
      </c>
      <c r="R403" t="s">
        <v>141</v>
      </c>
      <c r="S403">
        <v>0.19384158000000001</v>
      </c>
      <c r="T403" t="s">
        <v>369</v>
      </c>
      <c r="U403">
        <v>0.13216929999999999</v>
      </c>
      <c r="V403" t="s">
        <v>84</v>
      </c>
      <c r="W403">
        <v>9.0447395999999999E-2</v>
      </c>
    </row>
    <row r="404" spans="1:23" x14ac:dyDescent="0.25">
      <c r="A404" s="3" t="str">
        <f>HYPERLINK("http://ids.si.edu/ids/deliveryService?id=NMAH-AHB2017q054821","NMAH-AHB2017q054821")</f>
        <v>NMAH-AHB2017q054821</v>
      </c>
      <c r="B404" s="3" t="s">
        <v>1339</v>
      </c>
      <c r="C404" s="3">
        <v>1330496</v>
      </c>
      <c r="D404" s="3" t="s">
        <v>1167</v>
      </c>
      <c r="E404" s="4" t="s">
        <v>1260</v>
      </c>
      <c r="F404" t="s">
        <v>61</v>
      </c>
      <c r="G404">
        <v>0.89724308252334595</v>
      </c>
      <c r="H404" t="s">
        <v>112</v>
      </c>
      <c r="I404">
        <v>0.68572378158569336</v>
      </c>
      <c r="J404" t="s">
        <v>486</v>
      </c>
      <c r="K404" s="4">
        <v>0.68399506807327271</v>
      </c>
      <c r="L404" t="s">
        <v>66</v>
      </c>
      <c r="M404">
        <v>0.31897065000000002</v>
      </c>
      <c r="N404" t="s">
        <v>151</v>
      </c>
      <c r="O404">
        <v>0.22099529000000001</v>
      </c>
      <c r="P404" t="s">
        <v>65</v>
      </c>
      <c r="Q404" s="4">
        <v>0.15813611</v>
      </c>
      <c r="R404" t="s">
        <v>151</v>
      </c>
      <c r="S404">
        <v>0.39727311999999998</v>
      </c>
      <c r="T404" t="s">
        <v>253</v>
      </c>
      <c r="U404">
        <v>0.19842461</v>
      </c>
      <c r="V404" t="s">
        <v>66</v>
      </c>
      <c r="W404">
        <v>9.2120729999999998E-2</v>
      </c>
    </row>
    <row r="405" spans="1:23" x14ac:dyDescent="0.25">
      <c r="A405" s="3" t="str">
        <f>HYPERLINK("http://ids.si.edu/ids/deliveryService?id=NMAH-AHB2013q010370","NMAH-AHB2013q010370")</f>
        <v>NMAH-AHB2013q010370</v>
      </c>
      <c r="B405" s="3" t="s">
        <v>1340</v>
      </c>
      <c r="C405" s="3">
        <v>1441189</v>
      </c>
      <c r="D405" s="3" t="s">
        <v>1167</v>
      </c>
      <c r="E405" s="4" t="s">
        <v>1341</v>
      </c>
      <c r="F405" t="s">
        <v>1342</v>
      </c>
      <c r="G405">
        <v>0.62578612565994263</v>
      </c>
      <c r="H405" t="s">
        <v>1343</v>
      </c>
      <c r="I405">
        <v>0.55424141883850098</v>
      </c>
      <c r="J405" t="s">
        <v>1344</v>
      </c>
      <c r="K405" s="4">
        <v>0.5087091326713562</v>
      </c>
      <c r="L405" t="s">
        <v>314</v>
      </c>
      <c r="M405">
        <v>0.34910514999999998</v>
      </c>
      <c r="N405" t="s">
        <v>620</v>
      </c>
      <c r="O405">
        <v>0.14405190000000001</v>
      </c>
      <c r="P405" t="s">
        <v>411</v>
      </c>
      <c r="Q405" s="4">
        <v>0.13119112999999999</v>
      </c>
      <c r="R405" t="s">
        <v>141</v>
      </c>
      <c r="S405">
        <v>0.24528277000000001</v>
      </c>
      <c r="T405" t="s">
        <v>314</v>
      </c>
      <c r="U405">
        <v>0.18708989000000001</v>
      </c>
      <c r="V405" t="s">
        <v>364</v>
      </c>
      <c r="W405">
        <v>0.10652489</v>
      </c>
    </row>
    <row r="406" spans="1:23" x14ac:dyDescent="0.25">
      <c r="A406" s="3" t="str">
        <f>HYPERLINK("http://ids.si.edu/ids/deliveryService?id=NMAH-JN2015-5077","NMAH-JN2015-5077")</f>
        <v>NMAH-JN2015-5077</v>
      </c>
      <c r="B406" s="3" t="s">
        <v>1345</v>
      </c>
      <c r="C406" s="3">
        <v>687626</v>
      </c>
      <c r="D406" s="3" t="s">
        <v>1167</v>
      </c>
      <c r="E406" s="4" t="s">
        <v>1346</v>
      </c>
      <c r="F406" t="s">
        <v>439</v>
      </c>
      <c r="G406">
        <v>0.94438093900680542</v>
      </c>
      <c r="H406" t="s">
        <v>1347</v>
      </c>
      <c r="I406">
        <v>0.90261656045913696</v>
      </c>
      <c r="J406" t="s">
        <v>441</v>
      </c>
      <c r="K406" s="4">
        <v>0.89010041952133179</v>
      </c>
      <c r="L406" t="s">
        <v>149</v>
      </c>
      <c r="M406">
        <v>0.49013983999999999</v>
      </c>
      <c r="N406" t="s">
        <v>175</v>
      </c>
      <c r="O406">
        <v>6.7968390000000004E-2</v>
      </c>
      <c r="P406" t="s">
        <v>338</v>
      </c>
      <c r="Q406" s="4">
        <v>4.3968376000000003E-2</v>
      </c>
      <c r="R406" t="s">
        <v>66</v>
      </c>
      <c r="S406">
        <v>0.30643618</v>
      </c>
      <c r="T406" t="s">
        <v>29</v>
      </c>
      <c r="U406">
        <v>0.10621982000000001</v>
      </c>
      <c r="V406" t="s">
        <v>79</v>
      </c>
      <c r="W406">
        <v>8.0271120000000001E-2</v>
      </c>
    </row>
    <row r="407" spans="1:23" x14ac:dyDescent="0.25">
      <c r="A407" s="3" t="str">
        <f>HYPERLINK("http://ids.si.edu/ids/deliveryService?id=NMAH-AHB2017q048094","NMAH-AHB2017q048094")</f>
        <v>NMAH-AHB2017q048094</v>
      </c>
      <c r="B407" s="3" t="s">
        <v>1348</v>
      </c>
      <c r="C407" s="3">
        <v>1451869</v>
      </c>
      <c r="D407" s="3" t="s">
        <v>1167</v>
      </c>
      <c r="E407" s="4" t="s">
        <v>1182</v>
      </c>
      <c r="F407" t="s">
        <v>264</v>
      </c>
      <c r="G407">
        <v>0.93445503711700439</v>
      </c>
      <c r="H407" t="s">
        <v>525</v>
      </c>
      <c r="I407">
        <v>0.90855365991592407</v>
      </c>
      <c r="J407" t="s">
        <v>62</v>
      </c>
      <c r="K407" s="4">
        <v>0.84151601791381836</v>
      </c>
      <c r="L407" t="s">
        <v>67</v>
      </c>
      <c r="M407">
        <v>0.38196748000000003</v>
      </c>
      <c r="N407" t="s">
        <v>563</v>
      </c>
      <c r="O407">
        <v>0.26252016</v>
      </c>
      <c r="P407" t="s">
        <v>1349</v>
      </c>
      <c r="Q407" s="4">
        <v>0.10543187</v>
      </c>
      <c r="R407" t="s">
        <v>144</v>
      </c>
      <c r="S407">
        <v>0.30860660000000001</v>
      </c>
      <c r="T407" t="s">
        <v>67</v>
      </c>
      <c r="U407">
        <v>0.28072112999999999</v>
      </c>
      <c r="V407" t="s">
        <v>563</v>
      </c>
      <c r="W407">
        <v>0.12389688</v>
      </c>
    </row>
    <row r="408" spans="1:23" x14ac:dyDescent="0.25">
      <c r="A408" s="3" t="str">
        <f>HYPERLINK("http://ids.si.edu/ids/deliveryService?id=NMAH-AHB2017q129292","NMAH-AHB2017q129292")</f>
        <v>NMAH-AHB2017q129292</v>
      </c>
      <c r="B408" s="3" t="s">
        <v>1350</v>
      </c>
      <c r="C408" s="3">
        <v>333957</v>
      </c>
      <c r="D408" s="3" t="s">
        <v>1167</v>
      </c>
      <c r="E408" s="4" t="s">
        <v>1217</v>
      </c>
      <c r="F408" t="s">
        <v>91</v>
      </c>
      <c r="G408">
        <v>0.91031128168106079</v>
      </c>
      <c r="H408" t="s">
        <v>38</v>
      </c>
      <c r="I408">
        <v>0.620880126953125</v>
      </c>
      <c r="J408" t="s">
        <v>147</v>
      </c>
      <c r="K408" s="4">
        <v>0.60174673795700073</v>
      </c>
      <c r="L408" t="s">
        <v>151</v>
      </c>
      <c r="M408">
        <v>0.2124895</v>
      </c>
      <c r="N408" t="s">
        <v>149</v>
      </c>
      <c r="O408">
        <v>0.18207319</v>
      </c>
      <c r="P408" t="s">
        <v>460</v>
      </c>
      <c r="Q408" s="4">
        <v>8.5210145000000001E-2</v>
      </c>
      <c r="R408" t="s">
        <v>151</v>
      </c>
      <c r="S408">
        <v>0.6711590999999999</v>
      </c>
      <c r="T408" t="s">
        <v>149</v>
      </c>
      <c r="U408">
        <v>3.8379209999999997E-2</v>
      </c>
      <c r="V408" t="s">
        <v>443</v>
      </c>
      <c r="W408">
        <v>1.4987306000000001E-2</v>
      </c>
    </row>
    <row r="409" spans="1:23" x14ac:dyDescent="0.25">
      <c r="A409" s="3" t="str">
        <f>HYPERLINK("http://ids.si.edu/ids/deliveryService?id=NMAH-AHB2017q057805","NMAH-AHB2017q057805")</f>
        <v>NMAH-AHB2017q057805</v>
      </c>
      <c r="B409" s="3" t="s">
        <v>1351</v>
      </c>
      <c r="C409" s="3">
        <v>1325802</v>
      </c>
      <c r="D409" s="3" t="s">
        <v>1167</v>
      </c>
      <c r="E409" s="4" t="s">
        <v>1352</v>
      </c>
      <c r="F409" t="s">
        <v>486</v>
      </c>
      <c r="G409">
        <v>0.83714872598648071</v>
      </c>
      <c r="H409" t="s">
        <v>38</v>
      </c>
      <c r="I409">
        <v>0.50473684072494507</v>
      </c>
      <c r="L409" t="s">
        <v>398</v>
      </c>
      <c r="M409">
        <v>0.11384893</v>
      </c>
      <c r="N409" t="s">
        <v>66</v>
      </c>
      <c r="O409">
        <v>8.6821919999999997E-2</v>
      </c>
      <c r="P409" t="s">
        <v>149</v>
      </c>
      <c r="Q409" s="4">
        <v>4.6608440000000001E-2</v>
      </c>
      <c r="R409" t="s">
        <v>151</v>
      </c>
      <c r="S409">
        <v>0.43383652</v>
      </c>
      <c r="T409" t="s">
        <v>685</v>
      </c>
      <c r="U409">
        <v>7.3278930000000006E-2</v>
      </c>
      <c r="V409" t="s">
        <v>66</v>
      </c>
      <c r="W409">
        <v>2.8724943999999999E-2</v>
      </c>
    </row>
    <row r="410" spans="1:23" x14ac:dyDescent="0.25">
      <c r="A410" s="3" t="str">
        <f>HYPERLINK("http://ids.si.edu/ids/deliveryService?id=NMAH-AHB2017q060134","NMAH-AHB2017q060134")</f>
        <v>NMAH-AHB2017q060134</v>
      </c>
      <c r="B410" s="3" t="s">
        <v>1353</v>
      </c>
      <c r="C410" s="3">
        <v>2903</v>
      </c>
      <c r="D410" s="3" t="s">
        <v>1167</v>
      </c>
      <c r="E410" s="4" t="s">
        <v>464</v>
      </c>
      <c r="F410" t="s">
        <v>1174</v>
      </c>
      <c r="G410">
        <v>0.9558030366897583</v>
      </c>
      <c r="H410" t="s">
        <v>1280</v>
      </c>
      <c r="I410">
        <v>0.95302271842956543</v>
      </c>
      <c r="J410" t="s">
        <v>132</v>
      </c>
      <c r="K410" s="4">
        <v>0.92993861436843872</v>
      </c>
      <c r="L410" t="s">
        <v>1354</v>
      </c>
      <c r="M410">
        <v>0.44267269999999997</v>
      </c>
      <c r="N410" t="s">
        <v>464</v>
      </c>
      <c r="O410">
        <v>0.10166743</v>
      </c>
      <c r="P410" t="s">
        <v>923</v>
      </c>
      <c r="Q410" s="4">
        <v>8.9387679999999997E-2</v>
      </c>
      <c r="R410" t="s">
        <v>464</v>
      </c>
      <c r="S410">
        <v>0.20515688000000001</v>
      </c>
      <c r="T410" t="s">
        <v>1163</v>
      </c>
      <c r="U410">
        <v>0.1526169</v>
      </c>
      <c r="V410" t="s">
        <v>113</v>
      </c>
      <c r="W410">
        <v>0.14276916000000001</v>
      </c>
    </row>
    <row r="411" spans="1:23" x14ac:dyDescent="0.25">
      <c r="A411" s="3" t="str">
        <f>HYPERLINK("http://ids.si.edu/ids/deliveryService?id=NMAH-AHB2017q056686","NMAH-AHB2017q056686")</f>
        <v>NMAH-AHB2017q056686</v>
      </c>
      <c r="B411" s="3" t="s">
        <v>1355</v>
      </c>
      <c r="C411" s="3">
        <v>1318855</v>
      </c>
      <c r="D411" s="3" t="s">
        <v>1167</v>
      </c>
      <c r="E411" s="4" t="s">
        <v>1260</v>
      </c>
      <c r="F411" t="s">
        <v>91</v>
      </c>
      <c r="G411">
        <v>0.92529410123825073</v>
      </c>
      <c r="H411" t="s">
        <v>61</v>
      </c>
      <c r="I411">
        <v>0.90306717157363892</v>
      </c>
      <c r="J411" t="s">
        <v>206</v>
      </c>
      <c r="K411" s="4">
        <v>0.68866449594497681</v>
      </c>
      <c r="L411" t="s">
        <v>782</v>
      </c>
      <c r="M411">
        <v>3.9539352E-2</v>
      </c>
      <c r="N411" t="s">
        <v>222</v>
      </c>
      <c r="O411">
        <v>3.0043242000000001E-2</v>
      </c>
      <c r="P411" t="s">
        <v>273</v>
      </c>
      <c r="Q411" s="4">
        <v>2.8673298999999999E-2</v>
      </c>
      <c r="R411" t="s">
        <v>66</v>
      </c>
      <c r="S411">
        <v>0.40800103999999998</v>
      </c>
      <c r="T411" t="s">
        <v>151</v>
      </c>
      <c r="U411">
        <v>0.10200391</v>
      </c>
      <c r="V411" t="s">
        <v>253</v>
      </c>
      <c r="W411">
        <v>4.1110004999999998E-2</v>
      </c>
    </row>
    <row r="412" spans="1:23" x14ac:dyDescent="0.25">
      <c r="A412" s="3" t="str">
        <f>HYPERLINK("http://ids.si.edu/ids/deliveryService?id=NMAH-AHB2017q060712","NMAH-AHB2017q060712")</f>
        <v>NMAH-AHB2017q060712</v>
      </c>
      <c r="B412" s="3" t="s">
        <v>1356</v>
      </c>
      <c r="C412" s="3">
        <v>1317502</v>
      </c>
      <c r="D412" s="3" t="s">
        <v>1167</v>
      </c>
      <c r="E412" s="4" t="s">
        <v>1230</v>
      </c>
      <c r="F412" t="s">
        <v>1357</v>
      </c>
      <c r="G412">
        <v>0.95379066467285156</v>
      </c>
      <c r="H412" t="s">
        <v>1127</v>
      </c>
      <c r="I412">
        <v>0.92213428020477295</v>
      </c>
      <c r="J412" t="s">
        <v>886</v>
      </c>
      <c r="K412" s="4">
        <v>0.87330842018127441</v>
      </c>
      <c r="L412" t="s">
        <v>66</v>
      </c>
      <c r="M412">
        <v>0.32075205000000001</v>
      </c>
      <c r="N412" t="s">
        <v>369</v>
      </c>
      <c r="O412">
        <v>7.0430649999999997E-2</v>
      </c>
      <c r="P412" t="s">
        <v>79</v>
      </c>
      <c r="Q412" s="4">
        <v>5.143292E-2</v>
      </c>
      <c r="R412" t="s">
        <v>66</v>
      </c>
      <c r="S412">
        <v>0.14109231999999999</v>
      </c>
      <c r="T412" t="s">
        <v>312</v>
      </c>
      <c r="U412">
        <v>0.12032479</v>
      </c>
      <c r="V412" t="s">
        <v>42</v>
      </c>
      <c r="W412">
        <v>8.0170564E-2</v>
      </c>
    </row>
    <row r="413" spans="1:23" x14ac:dyDescent="0.25">
      <c r="A413" s="3" t="str">
        <f>HYPERLINK("http://ids.si.edu/ids/deliveryService?id=NMAH-AHB2013q070606","NMAH-AHB2013q070606")</f>
        <v>NMAH-AHB2013q070606</v>
      </c>
      <c r="B413" s="3" t="s">
        <v>1358</v>
      </c>
      <c r="C413" s="3">
        <v>719507</v>
      </c>
      <c r="D413" s="3" t="s">
        <v>1167</v>
      </c>
      <c r="E413" s="4" t="s">
        <v>1359</v>
      </c>
      <c r="F413" t="s">
        <v>147</v>
      </c>
      <c r="G413">
        <v>0.73660033941268921</v>
      </c>
      <c r="H413" t="s">
        <v>38</v>
      </c>
      <c r="I413">
        <v>0.60808920860290527</v>
      </c>
      <c r="L413" t="s">
        <v>149</v>
      </c>
      <c r="M413">
        <v>0.14426712999999999</v>
      </c>
      <c r="N413" t="s">
        <v>209</v>
      </c>
      <c r="O413">
        <v>0.118315056</v>
      </c>
      <c r="P413" t="s">
        <v>1052</v>
      </c>
      <c r="Q413" s="4">
        <v>4.1196533E-2</v>
      </c>
      <c r="R413" t="s">
        <v>151</v>
      </c>
      <c r="S413">
        <v>0.23861632999999999</v>
      </c>
      <c r="T413" t="s">
        <v>93</v>
      </c>
      <c r="U413">
        <v>8.3299614000000008E-2</v>
      </c>
      <c r="V413" t="s">
        <v>148</v>
      </c>
      <c r="W413">
        <v>7.6103545999999994E-2</v>
      </c>
    </row>
    <row r="414" spans="1:23" x14ac:dyDescent="0.25">
      <c r="A414" s="3" t="str">
        <f>HYPERLINK("http://ids.si.edu/ids/deliveryService?id=NMAH-AHB2016q010424","NMAH-AHB2016q010424")</f>
        <v>NMAH-AHB2016q010424</v>
      </c>
      <c r="B414" s="3" t="s">
        <v>1360</v>
      </c>
      <c r="C414" s="3">
        <v>1465826</v>
      </c>
      <c r="D414" s="3" t="s">
        <v>1167</v>
      </c>
      <c r="E414" s="4" t="s">
        <v>1361</v>
      </c>
      <c r="F414" t="s">
        <v>49</v>
      </c>
      <c r="G414">
        <v>0.87480652332305908</v>
      </c>
      <c r="H414" t="s">
        <v>50</v>
      </c>
      <c r="I414">
        <v>0.7381446361541748</v>
      </c>
      <c r="J414" t="s">
        <v>665</v>
      </c>
      <c r="K414" s="4">
        <v>0.55826377868652344</v>
      </c>
      <c r="L414" t="s">
        <v>312</v>
      </c>
      <c r="M414">
        <v>0.89713454000000004</v>
      </c>
      <c r="N414" t="s">
        <v>314</v>
      </c>
      <c r="O414">
        <v>3.649376E-2</v>
      </c>
      <c r="P414" t="s">
        <v>416</v>
      </c>
      <c r="Q414" s="4">
        <v>7.6271337000000002E-3</v>
      </c>
      <c r="R414" t="s">
        <v>312</v>
      </c>
      <c r="S414">
        <v>0.36662662000000001</v>
      </c>
      <c r="T414" t="s">
        <v>314</v>
      </c>
      <c r="U414">
        <v>0.25278752999999998</v>
      </c>
      <c r="V414" t="s">
        <v>365</v>
      </c>
      <c r="W414">
        <v>6.2696345000000001E-2</v>
      </c>
    </row>
    <row r="415" spans="1:23" x14ac:dyDescent="0.25">
      <c r="A415" s="3" t="str">
        <f>HYPERLINK("http://ids.si.edu/ids/deliveryService?id=NMAH-AHB2012q62822","NMAH-AHB2012q62822")</f>
        <v>NMAH-AHB2012q62822</v>
      </c>
      <c r="B415" s="3" t="s">
        <v>1362</v>
      </c>
      <c r="C415" s="3">
        <v>716227</v>
      </c>
      <c r="D415" s="3" t="s">
        <v>1167</v>
      </c>
      <c r="E415" s="4" t="s">
        <v>1173</v>
      </c>
      <c r="F415" t="s">
        <v>91</v>
      </c>
      <c r="G415">
        <v>0.95911645889282227</v>
      </c>
      <c r="H415" t="s">
        <v>1280</v>
      </c>
      <c r="I415">
        <v>0.93612104654312134</v>
      </c>
      <c r="J415" t="s">
        <v>1174</v>
      </c>
      <c r="K415" s="4">
        <v>0.89614152908325195</v>
      </c>
      <c r="L415" t="s">
        <v>312</v>
      </c>
      <c r="M415">
        <v>0.62461113999999995</v>
      </c>
      <c r="N415" t="s">
        <v>627</v>
      </c>
      <c r="O415">
        <v>0.23351435000000001</v>
      </c>
      <c r="P415" t="s">
        <v>461</v>
      </c>
      <c r="Q415" s="4">
        <v>2.8687480000000001E-2</v>
      </c>
      <c r="R415" t="s">
        <v>312</v>
      </c>
      <c r="S415">
        <v>0.75461847000000004</v>
      </c>
      <c r="T415" t="s">
        <v>627</v>
      </c>
      <c r="U415">
        <v>3.3098246999999997E-2</v>
      </c>
      <c r="V415" t="s">
        <v>95</v>
      </c>
      <c r="W415">
        <v>3.2195684000000002E-2</v>
      </c>
    </row>
    <row r="416" spans="1:23" x14ac:dyDescent="0.25">
      <c r="A416" s="3" t="str">
        <f>HYPERLINK("http://ids.si.edu/ids/deliveryService?id=NMAH-AHB2017q129262","NMAH-AHB2017q129262")</f>
        <v>NMAH-AHB2017q129262</v>
      </c>
      <c r="B416" s="3" t="s">
        <v>1363</v>
      </c>
      <c r="C416" s="3">
        <v>1184538</v>
      </c>
      <c r="D416" s="3" t="s">
        <v>1167</v>
      </c>
      <c r="E416" s="4" t="s">
        <v>1364</v>
      </c>
      <c r="F416" t="s">
        <v>147</v>
      </c>
      <c r="G416">
        <v>0.8891562819480896</v>
      </c>
      <c r="H416" t="s">
        <v>636</v>
      </c>
      <c r="I416">
        <v>0.64690178632736206</v>
      </c>
      <c r="J416" t="s">
        <v>50</v>
      </c>
      <c r="K416" s="4">
        <v>0.60706108808517456</v>
      </c>
      <c r="L416" t="s">
        <v>673</v>
      </c>
      <c r="M416">
        <v>0.53805672999999998</v>
      </c>
      <c r="N416" t="s">
        <v>261</v>
      </c>
      <c r="O416">
        <v>9.9966645000000007E-2</v>
      </c>
      <c r="P416" t="s">
        <v>184</v>
      </c>
      <c r="Q416" s="4">
        <v>5.1667362000000001E-2</v>
      </c>
      <c r="R416" t="s">
        <v>261</v>
      </c>
      <c r="S416">
        <v>0.43071251999999999</v>
      </c>
      <c r="T416" t="s">
        <v>673</v>
      </c>
      <c r="U416">
        <v>0.1636727</v>
      </c>
      <c r="V416" t="s">
        <v>1023</v>
      </c>
      <c r="W416">
        <v>5.831534E-2</v>
      </c>
    </row>
    <row r="417" spans="1:23" x14ac:dyDescent="0.25">
      <c r="A417" s="3" t="str">
        <f>HYPERLINK("http://ids.si.edu/ids/deliveryService?id=NMAH-AHB2013q072862","NMAH-AHB2013q072862")</f>
        <v>NMAH-AHB2013q072862</v>
      </c>
      <c r="B417" s="3" t="s">
        <v>1365</v>
      </c>
      <c r="C417" s="3">
        <v>1298573</v>
      </c>
      <c r="D417" s="3" t="s">
        <v>1167</v>
      </c>
      <c r="E417" s="4" t="s">
        <v>1332</v>
      </c>
      <c r="F417" t="s">
        <v>38</v>
      </c>
      <c r="G417">
        <v>0.74079883098602295</v>
      </c>
      <c r="H417" t="s">
        <v>486</v>
      </c>
      <c r="I417">
        <v>0.63505935668945313</v>
      </c>
      <c r="L417" t="s">
        <v>648</v>
      </c>
      <c r="M417">
        <v>0.22846806</v>
      </c>
      <c r="N417" t="s">
        <v>66</v>
      </c>
      <c r="O417">
        <v>0.16647588999999999</v>
      </c>
      <c r="P417" t="s">
        <v>369</v>
      </c>
      <c r="Q417" s="4">
        <v>5.3959460000000001E-2</v>
      </c>
      <c r="R417" t="s">
        <v>151</v>
      </c>
      <c r="S417">
        <v>0.14423928</v>
      </c>
      <c r="T417" t="s">
        <v>66</v>
      </c>
      <c r="U417">
        <v>8.4276160000000003E-2</v>
      </c>
      <c r="V417" t="s">
        <v>209</v>
      </c>
      <c r="W417">
        <v>3.7527814999999999E-2</v>
      </c>
    </row>
    <row r="418" spans="1:23" x14ac:dyDescent="0.25">
      <c r="A418" s="3" t="str">
        <f>HYPERLINK("http://ids.si.edu/ids/deliveryService?id=NMAH-AHB2016q089557","NMAH-AHB2016q089557")</f>
        <v>NMAH-AHB2016q089557</v>
      </c>
      <c r="B418" s="3" t="s">
        <v>1366</v>
      </c>
      <c r="C418" s="3">
        <v>1763087</v>
      </c>
      <c r="D418" s="3" t="s">
        <v>1167</v>
      </c>
      <c r="E418" s="4" t="s">
        <v>1367</v>
      </c>
      <c r="F418" t="s">
        <v>91</v>
      </c>
      <c r="G418">
        <v>0.88283330202102661</v>
      </c>
      <c r="H418" t="s">
        <v>1104</v>
      </c>
      <c r="I418">
        <v>0.65408647060394287</v>
      </c>
      <c r="J418" t="s">
        <v>851</v>
      </c>
      <c r="K418" s="4">
        <v>0.62107515335083008</v>
      </c>
      <c r="L418" t="s">
        <v>239</v>
      </c>
      <c r="M418">
        <v>0.74118830000000002</v>
      </c>
      <c r="N418" t="s">
        <v>35</v>
      </c>
      <c r="O418">
        <v>0.13130422999999999</v>
      </c>
      <c r="P418" t="s">
        <v>83</v>
      </c>
      <c r="Q418" s="4">
        <v>5.0761760000000003E-2</v>
      </c>
      <c r="R418" t="s">
        <v>83</v>
      </c>
      <c r="S418">
        <v>0.17614574999999999</v>
      </c>
      <c r="T418" t="s">
        <v>84</v>
      </c>
      <c r="U418">
        <v>0.1741557</v>
      </c>
      <c r="V418" t="s">
        <v>879</v>
      </c>
      <c r="W418">
        <v>0.14901811000000001</v>
      </c>
    </row>
    <row r="419" spans="1:23" x14ac:dyDescent="0.25">
      <c r="A419" s="3" t="str">
        <f>HYPERLINK("http://ids.si.edu/ids/deliveryService?id=NMAH-AHB2017q055619","NMAH-AHB2017q055619")</f>
        <v>NMAH-AHB2017q055619</v>
      </c>
      <c r="B419" s="3" t="s">
        <v>1368</v>
      </c>
      <c r="C419" s="3">
        <v>1371348</v>
      </c>
      <c r="D419" s="3" t="s">
        <v>1167</v>
      </c>
      <c r="E419" s="4" t="s">
        <v>1369</v>
      </c>
      <c r="F419" t="s">
        <v>61</v>
      </c>
      <c r="G419">
        <v>0.93072229623794556</v>
      </c>
      <c r="H419" t="s">
        <v>91</v>
      </c>
      <c r="I419">
        <v>0.91031128168106079</v>
      </c>
      <c r="J419" t="s">
        <v>725</v>
      </c>
      <c r="K419" s="4">
        <v>0.76263529062271118</v>
      </c>
      <c r="L419" t="s">
        <v>65</v>
      </c>
      <c r="M419">
        <v>0.26157844000000002</v>
      </c>
      <c r="N419" t="s">
        <v>66</v>
      </c>
      <c r="O419">
        <v>0.10499556</v>
      </c>
      <c r="P419" t="s">
        <v>648</v>
      </c>
      <c r="Q419" s="4">
        <v>9.1709374999999996E-2</v>
      </c>
      <c r="R419" t="s">
        <v>66</v>
      </c>
      <c r="S419">
        <v>0.15992703999999999</v>
      </c>
      <c r="T419" t="s">
        <v>65</v>
      </c>
      <c r="U419">
        <v>5.0761559999999997E-2</v>
      </c>
      <c r="V419" t="s">
        <v>177</v>
      </c>
      <c r="W419">
        <v>4.9511510000000002E-2</v>
      </c>
    </row>
    <row r="420" spans="1:23" x14ac:dyDescent="0.25">
      <c r="A420" s="3" t="str">
        <f>HYPERLINK("http://ids.si.edu/ids/deliveryService?id=NMAH-AHB2017q053853","NMAH-AHB2017q053853")</f>
        <v>NMAH-AHB2017q053853</v>
      </c>
      <c r="B420" s="3" t="s">
        <v>1370</v>
      </c>
      <c r="C420" s="3">
        <v>997196</v>
      </c>
      <c r="D420" s="3" t="s">
        <v>1167</v>
      </c>
      <c r="E420" s="4" t="s">
        <v>1371</v>
      </c>
      <c r="F420" t="s">
        <v>91</v>
      </c>
      <c r="G420">
        <v>0.88283330202102661</v>
      </c>
      <c r="H420" t="s">
        <v>1372</v>
      </c>
      <c r="I420">
        <v>0.69253987073898315</v>
      </c>
      <c r="J420" t="s">
        <v>50</v>
      </c>
      <c r="K420" s="4">
        <v>0.60706108808517456</v>
      </c>
      <c r="L420" t="s">
        <v>150</v>
      </c>
      <c r="M420">
        <v>0.90884240000000005</v>
      </c>
      <c r="N420" t="s">
        <v>1184</v>
      </c>
      <c r="O420">
        <v>7.9333300000000009E-2</v>
      </c>
      <c r="P420" t="s">
        <v>31</v>
      </c>
      <c r="Q420" s="4">
        <v>5.1479430000000003E-3</v>
      </c>
      <c r="R420" t="s">
        <v>1184</v>
      </c>
      <c r="S420">
        <v>0.67948069999999994</v>
      </c>
      <c r="T420" t="s">
        <v>31</v>
      </c>
      <c r="U420">
        <v>0.123298176</v>
      </c>
      <c r="V420" t="s">
        <v>261</v>
      </c>
      <c r="W420">
        <v>7.6271765000000005E-2</v>
      </c>
    </row>
    <row r="421" spans="1:23" x14ac:dyDescent="0.25">
      <c r="A421" s="3" t="str">
        <f>HYPERLINK("http://ids.si.edu/ids/deliveryService?id=NMAH-AHB2017q060112","NMAH-AHB2017q060112")</f>
        <v>NMAH-AHB2017q060112</v>
      </c>
      <c r="B421" s="3" t="s">
        <v>1373</v>
      </c>
      <c r="C421" s="3">
        <v>2341</v>
      </c>
      <c r="D421" s="3" t="s">
        <v>1167</v>
      </c>
      <c r="E421" s="4" t="s">
        <v>1374</v>
      </c>
      <c r="F421" t="s">
        <v>1375</v>
      </c>
      <c r="G421">
        <v>0.87489575147628784</v>
      </c>
      <c r="H421" t="s">
        <v>220</v>
      </c>
      <c r="I421">
        <v>0.59234714508056641</v>
      </c>
      <c r="J421" t="s">
        <v>1376</v>
      </c>
      <c r="K421" s="4">
        <v>0.55174171924591064</v>
      </c>
      <c r="L421" t="s">
        <v>209</v>
      </c>
      <c r="M421">
        <v>0.27112670000000011</v>
      </c>
      <c r="N421" t="s">
        <v>66</v>
      </c>
      <c r="O421">
        <v>0.14722336999999999</v>
      </c>
      <c r="P421" t="s">
        <v>460</v>
      </c>
      <c r="Q421" s="4">
        <v>0.12126981000000001</v>
      </c>
      <c r="R421" t="s">
        <v>209</v>
      </c>
      <c r="S421">
        <v>0.14948376999999999</v>
      </c>
      <c r="T421" t="s">
        <v>66</v>
      </c>
      <c r="U421">
        <v>9.791859E-2</v>
      </c>
      <c r="V421" t="s">
        <v>460</v>
      </c>
      <c r="W421">
        <v>6.4138399999999998E-2</v>
      </c>
    </row>
    <row r="422" spans="1:23" x14ac:dyDescent="0.25">
      <c r="A422" s="3" t="str">
        <f>HYPERLINK("http://ids.si.edu/ids/deliveryService?id=NMAH-AHB2016q010277","NMAH-AHB2016q010277")</f>
        <v>NMAH-AHB2016q010277</v>
      </c>
      <c r="B422" s="3" t="s">
        <v>1377</v>
      </c>
      <c r="C422" s="3">
        <v>733101</v>
      </c>
      <c r="D422" s="3" t="s">
        <v>1167</v>
      </c>
      <c r="E422" s="4" t="s">
        <v>1378</v>
      </c>
      <c r="F422" t="s">
        <v>61</v>
      </c>
      <c r="G422">
        <v>0.92437785863876343</v>
      </c>
      <c r="H422" t="s">
        <v>603</v>
      </c>
      <c r="I422">
        <v>0.90684622526168823</v>
      </c>
      <c r="J422" t="s">
        <v>1376</v>
      </c>
      <c r="K422" s="4">
        <v>0.82662469148635864</v>
      </c>
      <c r="L422" t="s">
        <v>65</v>
      </c>
      <c r="M422">
        <v>0.17526659999999999</v>
      </c>
      <c r="N422" t="s">
        <v>79</v>
      </c>
      <c r="O422">
        <v>0.11737943000000001</v>
      </c>
      <c r="P422" t="s">
        <v>460</v>
      </c>
      <c r="Q422" s="4">
        <v>5.1473024999999999E-2</v>
      </c>
      <c r="R422" t="s">
        <v>209</v>
      </c>
      <c r="S422">
        <v>0.18236953</v>
      </c>
      <c r="T422" t="s">
        <v>65</v>
      </c>
      <c r="U422">
        <v>0.15611586999999999</v>
      </c>
      <c r="V422" t="s">
        <v>66</v>
      </c>
      <c r="W422">
        <v>0.14374033</v>
      </c>
    </row>
    <row r="423" spans="1:23" x14ac:dyDescent="0.25">
      <c r="A423" s="3" t="str">
        <f>HYPERLINK("http://ids.si.edu/ids/deliveryService?id=NMAH-AHB2017q062703","NMAH-AHB2017q062703")</f>
        <v>NMAH-AHB2017q062703</v>
      </c>
      <c r="B423" s="3" t="s">
        <v>1379</v>
      </c>
      <c r="C423" s="3">
        <v>1762446</v>
      </c>
      <c r="D423" s="3" t="s">
        <v>1167</v>
      </c>
      <c r="E423" s="4" t="s">
        <v>1380</v>
      </c>
      <c r="F423" t="s">
        <v>91</v>
      </c>
      <c r="G423">
        <v>0.92529410123825073</v>
      </c>
      <c r="H423" t="s">
        <v>90</v>
      </c>
      <c r="I423">
        <v>0.87094926834106445</v>
      </c>
      <c r="J423" t="s">
        <v>50</v>
      </c>
      <c r="K423" s="4">
        <v>0.5114516019821167</v>
      </c>
      <c r="L423" t="s">
        <v>149</v>
      </c>
      <c r="M423">
        <v>0.27287102000000002</v>
      </c>
      <c r="N423" t="s">
        <v>443</v>
      </c>
      <c r="O423">
        <v>0.21294652</v>
      </c>
      <c r="P423" t="s">
        <v>599</v>
      </c>
      <c r="Q423" s="4">
        <v>0.17974801000000001</v>
      </c>
      <c r="R423" t="s">
        <v>149</v>
      </c>
      <c r="S423">
        <v>0.43415471999999999</v>
      </c>
      <c r="T423" t="s">
        <v>443</v>
      </c>
      <c r="U423">
        <v>5.3466428000000003E-2</v>
      </c>
      <c r="V423" t="s">
        <v>261</v>
      </c>
      <c r="W423">
        <v>4.9583654999999997E-2</v>
      </c>
    </row>
    <row r="424" spans="1:23" x14ac:dyDescent="0.25">
      <c r="A424" s="3" t="str">
        <f>HYPERLINK("http://ids.si.edu/ids/deliveryService?id=NMAH-AHB2017q056999","NMAH-AHB2017q056999")</f>
        <v>NMAH-AHB2017q056999</v>
      </c>
      <c r="B424" s="3" t="s">
        <v>1381</v>
      </c>
      <c r="C424" s="3">
        <v>1330512</v>
      </c>
      <c r="D424" s="3" t="s">
        <v>1167</v>
      </c>
      <c r="E424" s="4" t="s">
        <v>1382</v>
      </c>
      <c r="F424" t="s">
        <v>196</v>
      </c>
      <c r="G424">
        <v>0.85580158233642578</v>
      </c>
      <c r="H424" t="s">
        <v>1224</v>
      </c>
      <c r="I424">
        <v>0.78298693895339966</v>
      </c>
      <c r="J424" t="s">
        <v>195</v>
      </c>
      <c r="K424" s="4">
        <v>0.69405049085617065</v>
      </c>
      <c r="L424" t="s">
        <v>571</v>
      </c>
      <c r="M424">
        <v>0.32021864999999999</v>
      </c>
      <c r="N424" t="s">
        <v>369</v>
      </c>
      <c r="O424">
        <v>0.11365720999999999</v>
      </c>
      <c r="P424" t="s">
        <v>183</v>
      </c>
      <c r="Q424" s="4">
        <v>4.5114353000000003E-2</v>
      </c>
      <c r="R424" t="s">
        <v>369</v>
      </c>
      <c r="S424">
        <v>0.52252149999999997</v>
      </c>
      <c r="T424" t="s">
        <v>183</v>
      </c>
      <c r="U424">
        <v>0.33472067</v>
      </c>
      <c r="V424" t="s">
        <v>261</v>
      </c>
      <c r="W424">
        <v>6.568032E-2</v>
      </c>
    </row>
    <row r="425" spans="1:23" x14ac:dyDescent="0.25">
      <c r="A425" s="3" t="str">
        <f>HYPERLINK("http://ids.si.edu/ids/deliveryService?id=NMAH-AHB2017q054777","NMAH-AHB2017q054777")</f>
        <v>NMAH-AHB2017q054777</v>
      </c>
      <c r="B425" s="3" t="s">
        <v>1383</v>
      </c>
      <c r="C425" s="3">
        <v>1328593</v>
      </c>
      <c r="D425" s="3" t="s">
        <v>1167</v>
      </c>
      <c r="E425" s="4" t="s">
        <v>1384</v>
      </c>
      <c r="F425" t="s">
        <v>61</v>
      </c>
      <c r="G425">
        <v>0.89013081789016724</v>
      </c>
      <c r="H425" t="s">
        <v>62</v>
      </c>
      <c r="I425">
        <v>0.73102903366088867</v>
      </c>
      <c r="J425" t="s">
        <v>311</v>
      </c>
      <c r="K425" s="4">
        <v>0.70085245370864868</v>
      </c>
      <c r="L425" t="s">
        <v>65</v>
      </c>
      <c r="M425">
        <v>0.45684682999999998</v>
      </c>
      <c r="N425" t="s">
        <v>66</v>
      </c>
      <c r="O425">
        <v>0.32964462</v>
      </c>
      <c r="P425" t="s">
        <v>209</v>
      </c>
      <c r="Q425" s="4">
        <v>4.7960922000000003E-2</v>
      </c>
      <c r="R425" t="s">
        <v>65</v>
      </c>
      <c r="S425">
        <v>0.44715097999999998</v>
      </c>
      <c r="T425" t="s">
        <v>66</v>
      </c>
      <c r="U425">
        <v>0.36227347999999998</v>
      </c>
      <c r="V425" t="s">
        <v>209</v>
      </c>
      <c r="W425">
        <v>6.9466739999999999E-2</v>
      </c>
    </row>
    <row r="426" spans="1:23" x14ac:dyDescent="0.25">
      <c r="A426" s="3" t="str">
        <f>HYPERLINK("http://ids.si.edu/ids/deliveryService?id=NMAH-AHB2017q049910","NMAH-AHB2017q049910")</f>
        <v>NMAH-AHB2017q049910</v>
      </c>
      <c r="B426" s="3" t="s">
        <v>1385</v>
      </c>
      <c r="C426" s="3">
        <v>1838911</v>
      </c>
      <c r="D426" s="3" t="s">
        <v>1167</v>
      </c>
      <c r="E426" s="4" t="s">
        <v>1386</v>
      </c>
      <c r="F426" t="s">
        <v>147</v>
      </c>
      <c r="G426">
        <v>0.77402800321578979</v>
      </c>
      <c r="H426" t="s">
        <v>178</v>
      </c>
      <c r="I426">
        <v>0.56749182939529419</v>
      </c>
      <c r="L426" t="s">
        <v>398</v>
      </c>
      <c r="M426">
        <v>8.3443284000000006E-2</v>
      </c>
      <c r="N426" t="s">
        <v>397</v>
      </c>
      <c r="O426">
        <v>8.2162390000000002E-2</v>
      </c>
      <c r="P426" t="s">
        <v>390</v>
      </c>
      <c r="Q426" s="4">
        <v>6.3888340000000002E-2</v>
      </c>
      <c r="R426" t="s">
        <v>184</v>
      </c>
      <c r="S426">
        <v>0.41894668000000002</v>
      </c>
      <c r="T426" t="s">
        <v>673</v>
      </c>
      <c r="U426">
        <v>0.19542918000000001</v>
      </c>
      <c r="V426" t="s">
        <v>185</v>
      </c>
      <c r="W426">
        <v>5.0353132000000002E-2</v>
      </c>
    </row>
    <row r="427" spans="1:23" x14ac:dyDescent="0.25">
      <c r="A427" s="3" t="str">
        <f>HYPERLINK("http://ids.si.edu/ids/deliveryService?id=NMAH-AHB2017q060873","NMAH-AHB2017q060873")</f>
        <v>NMAH-AHB2017q060873</v>
      </c>
      <c r="B427" s="3" t="s">
        <v>1387</v>
      </c>
      <c r="C427" s="3">
        <v>1335724</v>
      </c>
      <c r="D427" s="3" t="s">
        <v>1167</v>
      </c>
      <c r="E427" s="4" t="s">
        <v>1388</v>
      </c>
      <c r="L427" t="s">
        <v>87</v>
      </c>
      <c r="M427">
        <v>0.23260812</v>
      </c>
      <c r="N427" t="s">
        <v>1214</v>
      </c>
      <c r="O427">
        <v>0.10069325</v>
      </c>
      <c r="P427" t="s">
        <v>1389</v>
      </c>
      <c r="Q427" s="4">
        <v>6.5925084000000009E-2</v>
      </c>
      <c r="R427" t="s">
        <v>87</v>
      </c>
      <c r="S427">
        <v>0.32940249999999999</v>
      </c>
      <c r="T427" t="s">
        <v>83</v>
      </c>
      <c r="U427">
        <v>0.21244632999999999</v>
      </c>
      <c r="V427" t="s">
        <v>141</v>
      </c>
      <c r="W427">
        <v>0.12394732999999999</v>
      </c>
    </row>
    <row r="428" spans="1:23" x14ac:dyDescent="0.25">
      <c r="A428" s="3" t="str">
        <f>HYPERLINK("http://ids.si.edu/ids/deliveryService?id=NMAH-AHB2010q04313-001","NMAH-AHB2010q04313-001")</f>
        <v>NMAH-AHB2010q04313-001</v>
      </c>
      <c r="B428" s="3" t="s">
        <v>1390</v>
      </c>
      <c r="C428" s="3">
        <v>1391303</v>
      </c>
      <c r="D428" s="3" t="s">
        <v>1167</v>
      </c>
      <c r="E428" s="4" t="s">
        <v>1391</v>
      </c>
      <c r="F428" t="s">
        <v>1224</v>
      </c>
      <c r="G428">
        <v>0.85279333591461182</v>
      </c>
      <c r="H428" t="s">
        <v>196</v>
      </c>
      <c r="I428">
        <v>0.68256473541259766</v>
      </c>
      <c r="J428" t="s">
        <v>1392</v>
      </c>
      <c r="K428" s="4">
        <v>0.63196253776550293</v>
      </c>
      <c r="L428" t="s">
        <v>813</v>
      </c>
      <c r="M428">
        <v>0.83579236000000001</v>
      </c>
      <c r="N428" t="s">
        <v>303</v>
      </c>
      <c r="O428">
        <v>8.0207029999999999E-2</v>
      </c>
      <c r="P428" t="s">
        <v>847</v>
      </c>
      <c r="Q428" s="4">
        <v>1.2377031E-2</v>
      </c>
      <c r="R428" t="s">
        <v>813</v>
      </c>
      <c r="S428">
        <v>0.97650040000000005</v>
      </c>
      <c r="T428" t="s">
        <v>586</v>
      </c>
      <c r="U428">
        <v>1.5766358000000001E-2</v>
      </c>
      <c r="V428" t="s">
        <v>303</v>
      </c>
      <c r="W428">
        <v>5.8585913000000003E-3</v>
      </c>
    </row>
    <row r="429" spans="1:23" x14ac:dyDescent="0.25">
      <c r="A429" s="3" t="str">
        <f>HYPERLINK("http://ids.si.edu/ids/deliveryService?id=NMAH-AHB2017q055403","NMAH-AHB2017q055403")</f>
        <v>NMAH-AHB2017q055403</v>
      </c>
      <c r="B429" s="3" t="s">
        <v>1393</v>
      </c>
      <c r="C429" s="3">
        <v>1419395</v>
      </c>
      <c r="D429" s="3" t="s">
        <v>1167</v>
      </c>
      <c r="E429" s="4" t="s">
        <v>1394</v>
      </c>
      <c r="F429" t="s">
        <v>91</v>
      </c>
      <c r="G429">
        <v>0.95297396183013916</v>
      </c>
      <c r="H429" t="s">
        <v>112</v>
      </c>
      <c r="I429">
        <v>0.68572378158569336</v>
      </c>
      <c r="J429" t="s">
        <v>441</v>
      </c>
      <c r="K429" s="4">
        <v>0.6757805347442627</v>
      </c>
      <c r="L429" t="s">
        <v>84</v>
      </c>
      <c r="M429">
        <v>0.51896936000000005</v>
      </c>
      <c r="N429" t="s">
        <v>258</v>
      </c>
      <c r="O429">
        <v>0.19720861000000001</v>
      </c>
      <c r="P429" t="s">
        <v>82</v>
      </c>
      <c r="Q429" s="4">
        <v>0.102583855</v>
      </c>
      <c r="R429" t="s">
        <v>82</v>
      </c>
      <c r="S429">
        <v>0.18996336999999999</v>
      </c>
      <c r="T429" t="s">
        <v>1215</v>
      </c>
      <c r="U429">
        <v>0.13439342000000001</v>
      </c>
      <c r="V429" t="s">
        <v>495</v>
      </c>
      <c r="W429">
        <v>0.120119005</v>
      </c>
    </row>
    <row r="430" spans="1:23" x14ac:dyDescent="0.25">
      <c r="A430" s="3" t="str">
        <f>HYPERLINK("http://ids.si.edu/ids/deliveryService?id=NMAH-AHB2014q042557","NMAH-AHB2014q042557")</f>
        <v>NMAH-AHB2014q042557</v>
      </c>
      <c r="B430" s="3" t="s">
        <v>1395</v>
      </c>
      <c r="C430" s="3">
        <v>209606</v>
      </c>
      <c r="D430" s="3" t="s">
        <v>1167</v>
      </c>
      <c r="E430" s="4" t="s">
        <v>1396</v>
      </c>
      <c r="F430" t="s">
        <v>91</v>
      </c>
      <c r="G430">
        <v>0.92529410123825073</v>
      </c>
      <c r="H430" t="s">
        <v>1174</v>
      </c>
      <c r="I430">
        <v>0.91122466325759888</v>
      </c>
      <c r="J430" t="s">
        <v>1188</v>
      </c>
      <c r="K430" s="4">
        <v>0.89315336942672729</v>
      </c>
      <c r="L430" t="s">
        <v>95</v>
      </c>
      <c r="M430">
        <v>0.25918619999999998</v>
      </c>
      <c r="N430" t="s">
        <v>923</v>
      </c>
      <c r="O430">
        <v>0.25667499999999999</v>
      </c>
      <c r="P430" t="s">
        <v>312</v>
      </c>
      <c r="Q430" s="4">
        <v>0.17544926999999999</v>
      </c>
      <c r="R430" t="s">
        <v>312</v>
      </c>
      <c r="S430">
        <v>0.31827875999999999</v>
      </c>
      <c r="T430" t="s">
        <v>627</v>
      </c>
      <c r="U430">
        <v>0.27000687000000001</v>
      </c>
      <c r="V430" t="s">
        <v>95</v>
      </c>
      <c r="W430">
        <v>8.2375879999999999E-2</v>
      </c>
    </row>
    <row r="431" spans="1:23" x14ac:dyDescent="0.25">
      <c r="A431" s="3" t="str">
        <f>HYPERLINK("http://ids.si.edu/ids/deliveryService?id=NMAH-AHB2017q058553","NMAH-AHB2017q058553")</f>
        <v>NMAH-AHB2017q058553</v>
      </c>
      <c r="B431" s="3" t="s">
        <v>1397</v>
      </c>
      <c r="C431" s="3">
        <v>748724</v>
      </c>
      <c r="D431" s="3" t="s">
        <v>1167</v>
      </c>
      <c r="E431" s="4" t="s">
        <v>1398</v>
      </c>
      <c r="F431" t="s">
        <v>26</v>
      </c>
      <c r="G431">
        <v>0.64250808954238892</v>
      </c>
      <c r="H431" t="s">
        <v>1399</v>
      </c>
      <c r="I431">
        <v>0.63577753305435181</v>
      </c>
      <c r="J431" t="s">
        <v>50</v>
      </c>
      <c r="K431" s="4">
        <v>0.5114516019821167</v>
      </c>
      <c r="L431" t="s">
        <v>212</v>
      </c>
      <c r="M431">
        <v>0.4981254</v>
      </c>
      <c r="N431" t="s">
        <v>149</v>
      </c>
      <c r="O431">
        <v>6.9223220000000002E-2</v>
      </c>
      <c r="P431" t="s">
        <v>668</v>
      </c>
      <c r="Q431" s="4">
        <v>5.9149735000000002E-2</v>
      </c>
      <c r="R431" t="s">
        <v>212</v>
      </c>
      <c r="S431">
        <v>0.28349679999999999</v>
      </c>
      <c r="T431" t="s">
        <v>32</v>
      </c>
      <c r="U431">
        <v>0.15833585999999999</v>
      </c>
      <c r="V431" t="s">
        <v>34</v>
      </c>
      <c r="W431">
        <v>8.4604344999999997E-2</v>
      </c>
    </row>
    <row r="432" spans="1:23" x14ac:dyDescent="0.25">
      <c r="A432" s="3" t="str">
        <f>HYPERLINK("http://ids.si.edu/ids/deliveryService?id=NMAH-AHB2012q61467","NMAH-AHB2012q61467")</f>
        <v>NMAH-AHB2012q61467</v>
      </c>
      <c r="B432" s="3" t="s">
        <v>1400</v>
      </c>
      <c r="C432" s="3">
        <v>715782</v>
      </c>
      <c r="D432" s="3" t="s">
        <v>1167</v>
      </c>
      <c r="E432" s="4" t="s">
        <v>1173</v>
      </c>
      <c r="F432" t="s">
        <v>1174</v>
      </c>
      <c r="G432">
        <v>0.97165578603744507</v>
      </c>
      <c r="H432" t="s">
        <v>1280</v>
      </c>
      <c r="I432">
        <v>0.95808851718902588</v>
      </c>
      <c r="J432" t="s">
        <v>1188</v>
      </c>
      <c r="K432" s="4">
        <v>0.9514918327331543</v>
      </c>
      <c r="L432" t="s">
        <v>363</v>
      </c>
      <c r="M432">
        <v>0.68342460000000005</v>
      </c>
      <c r="N432" t="s">
        <v>627</v>
      </c>
      <c r="O432">
        <v>0.17046196999999999</v>
      </c>
      <c r="P432" t="s">
        <v>923</v>
      </c>
      <c r="Q432" s="4">
        <v>6.4417710000000003E-2</v>
      </c>
      <c r="R432" t="s">
        <v>363</v>
      </c>
      <c r="S432">
        <v>0.78744999999999998</v>
      </c>
      <c r="T432" t="s">
        <v>923</v>
      </c>
      <c r="U432">
        <v>0.1013691</v>
      </c>
      <c r="V432" t="s">
        <v>627</v>
      </c>
      <c r="W432">
        <v>2.8761479999999999E-2</v>
      </c>
    </row>
    <row r="433" spans="1:23" x14ac:dyDescent="0.25">
      <c r="A433" s="3" t="str">
        <f>HYPERLINK("http://ids.si.edu/ids/deliveryService?id=NMAH-AHB2017q049021","NMAH-AHB2017q049021")</f>
        <v>NMAH-AHB2017q049021</v>
      </c>
      <c r="B433" s="3" t="s">
        <v>1401</v>
      </c>
      <c r="C433" s="3">
        <v>1822825</v>
      </c>
      <c r="D433" s="3" t="s">
        <v>1167</v>
      </c>
      <c r="E433" s="4" t="s">
        <v>1402</v>
      </c>
      <c r="F433" t="s">
        <v>374</v>
      </c>
      <c r="G433">
        <v>0.6242249608039856</v>
      </c>
      <c r="L433" t="s">
        <v>430</v>
      </c>
      <c r="M433">
        <v>0.22390763</v>
      </c>
      <c r="N433" t="s">
        <v>1403</v>
      </c>
      <c r="O433">
        <v>0.13245470000000001</v>
      </c>
      <c r="P433" t="s">
        <v>571</v>
      </c>
      <c r="Q433" s="4">
        <v>6.9315280000000007E-2</v>
      </c>
      <c r="R433" t="s">
        <v>571</v>
      </c>
      <c r="S433">
        <v>0.43241864000000002</v>
      </c>
      <c r="T433" t="s">
        <v>460</v>
      </c>
      <c r="U433">
        <v>0.103699744</v>
      </c>
      <c r="V433" t="s">
        <v>93</v>
      </c>
      <c r="W433">
        <v>8.2546880000000003E-2</v>
      </c>
    </row>
    <row r="434" spans="1:23" x14ac:dyDescent="0.25">
      <c r="A434" s="3" t="str">
        <f>HYPERLINK("http://ids.si.edu/ids/deliveryService?id=NMAH-AHB2017q051349","NMAH-AHB2017q051349")</f>
        <v>NMAH-AHB2017q051349</v>
      </c>
      <c r="B434" s="3" t="s">
        <v>1404</v>
      </c>
      <c r="C434" s="3">
        <v>1167591</v>
      </c>
      <c r="D434" s="3" t="s">
        <v>1167</v>
      </c>
      <c r="E434" s="4" t="s">
        <v>1405</v>
      </c>
      <c r="F434" t="s">
        <v>49</v>
      </c>
      <c r="G434">
        <v>0.77257806062698364</v>
      </c>
      <c r="H434" t="s">
        <v>50</v>
      </c>
      <c r="I434">
        <v>0.6591346263885498</v>
      </c>
      <c r="L434" t="s">
        <v>442</v>
      </c>
      <c r="M434">
        <v>0.37576946999999999</v>
      </c>
      <c r="N434" t="s">
        <v>1406</v>
      </c>
      <c r="O434">
        <v>0.30129721999999998</v>
      </c>
      <c r="P434" t="s">
        <v>390</v>
      </c>
      <c r="Q434" s="4">
        <v>8.3930389999999994E-2</v>
      </c>
      <c r="R434" t="s">
        <v>598</v>
      </c>
      <c r="S434">
        <v>0.15566178999999999</v>
      </c>
      <c r="T434" t="s">
        <v>148</v>
      </c>
      <c r="U434">
        <v>0.15165980000000001</v>
      </c>
      <c r="V434" t="s">
        <v>597</v>
      </c>
      <c r="W434">
        <v>0.113296814</v>
      </c>
    </row>
    <row r="435" spans="1:23" x14ac:dyDescent="0.25">
      <c r="A435" s="3" t="str">
        <f>HYPERLINK("http://ids.si.edu/ids/deliveryService?id=NMAH-AHB2012q63437","NMAH-AHB2012q63437")</f>
        <v>NMAH-AHB2012q63437</v>
      </c>
      <c r="B435" s="3" t="s">
        <v>1407</v>
      </c>
      <c r="C435" s="3">
        <v>1298332</v>
      </c>
      <c r="D435" s="3" t="s">
        <v>1167</v>
      </c>
      <c r="E435" s="4" t="s">
        <v>1173</v>
      </c>
      <c r="F435" t="s">
        <v>1280</v>
      </c>
      <c r="G435">
        <v>0.96561801433563232</v>
      </c>
      <c r="H435" t="s">
        <v>1174</v>
      </c>
      <c r="I435">
        <v>0.94970005750656128</v>
      </c>
      <c r="J435" t="s">
        <v>91</v>
      </c>
      <c r="K435" s="4">
        <v>0.92529410123825073</v>
      </c>
      <c r="L435" t="s">
        <v>113</v>
      </c>
      <c r="M435">
        <v>0.45822712999999998</v>
      </c>
      <c r="N435" t="s">
        <v>365</v>
      </c>
      <c r="O435">
        <v>0.2275528</v>
      </c>
      <c r="P435" t="s">
        <v>95</v>
      </c>
      <c r="Q435" s="4">
        <v>0.13858039999999999</v>
      </c>
      <c r="R435" t="s">
        <v>312</v>
      </c>
      <c r="S435">
        <v>0.20800772000000001</v>
      </c>
      <c r="T435" t="s">
        <v>627</v>
      </c>
      <c r="U435">
        <v>0.17445986999999999</v>
      </c>
      <c r="V435" t="s">
        <v>363</v>
      </c>
      <c r="W435">
        <v>6.5189995000000001E-2</v>
      </c>
    </row>
    <row r="436" spans="1:23" x14ac:dyDescent="0.25">
      <c r="A436" s="3" t="str">
        <f>HYPERLINK("http://ids.si.edu/ids/deliveryService?id=NMAH-AHB2012q69341-000001","NMAH-AHB2012q69341-000001")</f>
        <v>NMAH-AHB2012q69341-000001</v>
      </c>
      <c r="B436" s="3" t="s">
        <v>1408</v>
      </c>
      <c r="C436" s="3">
        <v>716265</v>
      </c>
      <c r="D436" s="3" t="s">
        <v>1167</v>
      </c>
      <c r="E436" s="4" t="s">
        <v>1173</v>
      </c>
      <c r="F436" t="s">
        <v>91</v>
      </c>
      <c r="G436">
        <v>0.88283330202102661</v>
      </c>
      <c r="H436" t="s">
        <v>1409</v>
      </c>
      <c r="I436">
        <v>0.77517294883728027</v>
      </c>
      <c r="J436" t="s">
        <v>62</v>
      </c>
      <c r="K436" s="4">
        <v>0.62534767389297485</v>
      </c>
      <c r="L436" t="s">
        <v>369</v>
      </c>
      <c r="M436">
        <v>0.10044908</v>
      </c>
      <c r="N436" t="s">
        <v>65</v>
      </c>
      <c r="O436">
        <v>6.749571E-2</v>
      </c>
      <c r="P436" t="s">
        <v>620</v>
      </c>
      <c r="Q436" s="4">
        <v>5.3146657E-2</v>
      </c>
      <c r="R436" t="s">
        <v>95</v>
      </c>
      <c r="S436">
        <v>4.848268E-2</v>
      </c>
      <c r="T436" t="s">
        <v>149</v>
      </c>
      <c r="U436">
        <v>4.2949135999999999E-2</v>
      </c>
      <c r="V436" t="s">
        <v>66</v>
      </c>
      <c r="W436">
        <v>4.1041117000000002E-2</v>
      </c>
    </row>
    <row r="437" spans="1:23" x14ac:dyDescent="0.25">
      <c r="A437" s="3" t="str">
        <f>HYPERLINK("http://ids.si.edu/ids/deliveryService?id=NMAH-AHB2014q094161","NMAH-AHB2014q094161")</f>
        <v>NMAH-AHB2014q094161</v>
      </c>
      <c r="B437" s="3" t="s">
        <v>1410</v>
      </c>
      <c r="C437" s="3">
        <v>726970</v>
      </c>
      <c r="D437" s="3" t="s">
        <v>1167</v>
      </c>
      <c r="E437" s="4" t="s">
        <v>1411</v>
      </c>
      <c r="F437" t="s">
        <v>1213</v>
      </c>
      <c r="G437">
        <v>0.92446082830429077</v>
      </c>
      <c r="H437" t="s">
        <v>91</v>
      </c>
      <c r="I437">
        <v>0.88283330202102661</v>
      </c>
      <c r="J437" t="s">
        <v>1412</v>
      </c>
      <c r="K437" s="4">
        <v>0.80507779121398926</v>
      </c>
      <c r="L437" t="s">
        <v>141</v>
      </c>
      <c r="M437">
        <v>0.45017610000000002</v>
      </c>
      <c r="N437" t="s">
        <v>239</v>
      </c>
      <c r="O437">
        <v>0.18914127</v>
      </c>
      <c r="P437" t="s">
        <v>84</v>
      </c>
      <c r="Q437" s="4">
        <v>9.9648399999999998E-2</v>
      </c>
      <c r="R437" t="s">
        <v>495</v>
      </c>
      <c r="S437">
        <v>0.37198639999999999</v>
      </c>
      <c r="T437" t="s">
        <v>141</v>
      </c>
      <c r="U437">
        <v>0.17963058000000001</v>
      </c>
      <c r="V437" t="s">
        <v>84</v>
      </c>
      <c r="W437">
        <v>0.15491948999999999</v>
      </c>
    </row>
    <row r="438" spans="1:23" x14ac:dyDescent="0.25">
      <c r="A438" s="3" t="str">
        <f>HYPERLINK("http://ids.si.edu/ids/deliveryService?id=NMAH-AHB2017q055176","NMAH-AHB2017q055176")</f>
        <v>NMAH-AHB2017q055176</v>
      </c>
      <c r="B438" s="3" t="s">
        <v>1413</v>
      </c>
      <c r="C438" s="3">
        <v>1329431</v>
      </c>
      <c r="D438" s="3" t="s">
        <v>1167</v>
      </c>
      <c r="E438" s="4" t="s">
        <v>1414</v>
      </c>
      <c r="F438" t="s">
        <v>441</v>
      </c>
      <c r="G438">
        <v>0.77679431438446045</v>
      </c>
      <c r="H438" t="s">
        <v>615</v>
      </c>
      <c r="I438">
        <v>0.74430555105209351</v>
      </c>
      <c r="J438" t="s">
        <v>1415</v>
      </c>
      <c r="K438" s="4">
        <v>0.68513566255569458</v>
      </c>
      <c r="L438" t="s">
        <v>1093</v>
      </c>
      <c r="M438">
        <v>0.27951463999999998</v>
      </c>
      <c r="N438" t="s">
        <v>1416</v>
      </c>
      <c r="O438">
        <v>0.19062314999999999</v>
      </c>
      <c r="P438" t="s">
        <v>765</v>
      </c>
      <c r="Q438" s="4">
        <v>7.9390145999999995E-2</v>
      </c>
      <c r="R438" t="s">
        <v>765</v>
      </c>
      <c r="S438">
        <v>0.21296952999999999</v>
      </c>
      <c r="T438" t="s">
        <v>175</v>
      </c>
      <c r="U438">
        <v>9.0323895000000001E-2</v>
      </c>
      <c r="V438" t="s">
        <v>31</v>
      </c>
      <c r="W438">
        <v>4.6243711999999999E-2</v>
      </c>
    </row>
    <row r="439" spans="1:23" x14ac:dyDescent="0.25">
      <c r="A439" s="3" t="str">
        <f>HYPERLINK("http://ids.si.edu/ids/deliveryService?id=NMAH-AHB2017q056369","NMAH-AHB2017q056369")</f>
        <v>NMAH-AHB2017q056369</v>
      </c>
      <c r="B439" s="3" t="s">
        <v>1417</v>
      </c>
      <c r="C439" s="3">
        <v>1167326</v>
      </c>
      <c r="D439" s="3" t="s">
        <v>1167</v>
      </c>
      <c r="E439" s="4" t="s">
        <v>1418</v>
      </c>
      <c r="F439" t="s">
        <v>1090</v>
      </c>
      <c r="G439">
        <v>0.89696633815765381</v>
      </c>
      <c r="H439" t="s">
        <v>747</v>
      </c>
      <c r="I439">
        <v>0.8806421160697937</v>
      </c>
      <c r="J439" t="s">
        <v>1089</v>
      </c>
      <c r="K439" s="4">
        <v>0.8733564019203186</v>
      </c>
      <c r="L439" t="s">
        <v>150</v>
      </c>
      <c r="M439">
        <v>0.40459814999999999</v>
      </c>
      <c r="N439" t="s">
        <v>411</v>
      </c>
      <c r="O439">
        <v>5.8758409999999997E-2</v>
      </c>
      <c r="P439" t="s">
        <v>412</v>
      </c>
      <c r="Q439" s="4">
        <v>4.6880454000000002E-2</v>
      </c>
      <c r="R439" t="s">
        <v>1419</v>
      </c>
      <c r="S439">
        <v>0.16487605999999999</v>
      </c>
      <c r="T439" t="s">
        <v>918</v>
      </c>
      <c r="U439">
        <v>0.103604235</v>
      </c>
      <c r="V439" t="s">
        <v>314</v>
      </c>
      <c r="W439">
        <v>7.0228800000000008E-2</v>
      </c>
    </row>
    <row r="440" spans="1:23" x14ac:dyDescent="0.25">
      <c r="A440" s="3" t="str">
        <f>HYPERLINK("http://ids.si.edu/ids/deliveryService?id=NMAH-AHB2017q060057","NMAH-AHB2017q060057")</f>
        <v>NMAH-AHB2017q060057</v>
      </c>
      <c r="B440" s="3" t="s">
        <v>1420</v>
      </c>
      <c r="C440" s="3">
        <v>1316639</v>
      </c>
      <c r="D440" s="3" t="s">
        <v>1167</v>
      </c>
      <c r="E440" s="4" t="s">
        <v>1421</v>
      </c>
      <c r="F440" t="s">
        <v>61</v>
      </c>
      <c r="G440">
        <v>0.93841838836669922</v>
      </c>
      <c r="H440" t="s">
        <v>126</v>
      </c>
      <c r="I440">
        <v>0.78074061870574951</v>
      </c>
      <c r="J440" t="s">
        <v>62</v>
      </c>
      <c r="K440" s="4">
        <v>0.73994475603103638</v>
      </c>
      <c r="L440" t="s">
        <v>65</v>
      </c>
      <c r="M440">
        <v>0.41999735999999999</v>
      </c>
      <c r="N440" t="s">
        <v>460</v>
      </c>
      <c r="O440">
        <v>0.12674920000000001</v>
      </c>
      <c r="P440" t="s">
        <v>129</v>
      </c>
      <c r="Q440" s="4">
        <v>0.11380703</v>
      </c>
      <c r="R440" t="s">
        <v>66</v>
      </c>
      <c r="S440">
        <v>0.25126644999999997</v>
      </c>
      <c r="T440" t="s">
        <v>65</v>
      </c>
      <c r="U440">
        <v>6.4099379999999997E-2</v>
      </c>
      <c r="V440" t="s">
        <v>95</v>
      </c>
      <c r="W440">
        <v>4.938066E-2</v>
      </c>
    </row>
    <row r="441" spans="1:23" x14ac:dyDescent="0.25">
      <c r="A441" s="3" t="str">
        <f>HYPERLINK("http://ids.si.edu/ids/deliveryService?id=NMAH-AHB2017q051639","NMAH-AHB2017q051639")</f>
        <v>NMAH-AHB2017q051639</v>
      </c>
      <c r="B441" s="3" t="s">
        <v>1422</v>
      </c>
      <c r="C441" s="3">
        <v>1167620</v>
      </c>
      <c r="D441" s="3" t="s">
        <v>1167</v>
      </c>
      <c r="E441" s="4" t="s">
        <v>1423</v>
      </c>
      <c r="F441" t="s">
        <v>91</v>
      </c>
      <c r="G441">
        <v>0.88283330202102661</v>
      </c>
      <c r="H441" t="s">
        <v>90</v>
      </c>
      <c r="I441">
        <v>0.68211978673934937</v>
      </c>
      <c r="J441" t="s">
        <v>1150</v>
      </c>
      <c r="K441" s="4">
        <v>0.55022251605987549</v>
      </c>
      <c r="L441" t="s">
        <v>63</v>
      </c>
      <c r="M441">
        <v>0.16675211000000001</v>
      </c>
      <c r="N441" t="s">
        <v>258</v>
      </c>
      <c r="O441">
        <v>0.106856085</v>
      </c>
      <c r="P441" t="s">
        <v>149</v>
      </c>
      <c r="Q441" s="4">
        <v>6.0563384999999997E-2</v>
      </c>
      <c r="R441" t="s">
        <v>149</v>
      </c>
      <c r="S441">
        <v>0.34618874999999999</v>
      </c>
      <c r="T441" t="s">
        <v>63</v>
      </c>
      <c r="U441">
        <v>0.21593683999999999</v>
      </c>
      <c r="V441" t="s">
        <v>913</v>
      </c>
      <c r="W441">
        <v>8.1180909999999995E-2</v>
      </c>
    </row>
    <row r="442" spans="1:23" x14ac:dyDescent="0.25">
      <c r="A442" s="3" t="str">
        <f>HYPERLINK("http://ids.si.edu/ids/deliveryService?id=SIA-74-11881","SIA-74-11881")</f>
        <v>SIA-74-11881</v>
      </c>
      <c r="B442" s="3" t="s">
        <v>1424</v>
      </c>
      <c r="C442" s="3">
        <v>1215152</v>
      </c>
      <c r="D442" s="3" t="s">
        <v>1167</v>
      </c>
      <c r="E442" s="4" t="s">
        <v>1425</v>
      </c>
      <c r="F442" t="s">
        <v>38</v>
      </c>
      <c r="G442">
        <v>0.5338103175163269</v>
      </c>
      <c r="L442" t="s">
        <v>1426</v>
      </c>
      <c r="M442">
        <v>0.37622707999999999</v>
      </c>
      <c r="N442" t="s">
        <v>1427</v>
      </c>
      <c r="O442">
        <v>0.12769306</v>
      </c>
      <c r="P442" t="s">
        <v>599</v>
      </c>
      <c r="Q442" s="4">
        <v>0.10097923</v>
      </c>
      <c r="R442" t="s">
        <v>1426</v>
      </c>
      <c r="S442">
        <v>0.49825059999999988</v>
      </c>
      <c r="T442" t="s">
        <v>1427</v>
      </c>
      <c r="U442">
        <v>0.23672691000000001</v>
      </c>
      <c r="V442" t="s">
        <v>528</v>
      </c>
      <c r="W442">
        <v>7.2951420000000003E-2</v>
      </c>
    </row>
    <row r="443" spans="1:23" x14ac:dyDescent="0.25">
      <c r="A443" s="3" t="str">
        <f>HYPERLINK("http://ids.si.edu/ids/deliveryService?id=SIA-98-5188","SIA-98-5188")</f>
        <v>SIA-98-5188</v>
      </c>
      <c r="B443" s="3" t="s">
        <v>1428</v>
      </c>
      <c r="C443" s="3">
        <v>690288</v>
      </c>
      <c r="D443" s="3" t="s">
        <v>1167</v>
      </c>
      <c r="E443" s="4" t="s">
        <v>1429</v>
      </c>
      <c r="F443" t="s">
        <v>441</v>
      </c>
      <c r="G443">
        <v>0.6757805347442627</v>
      </c>
      <c r="H443" t="s">
        <v>615</v>
      </c>
      <c r="I443">
        <v>0.60989159345626831</v>
      </c>
      <c r="J443" t="s">
        <v>280</v>
      </c>
      <c r="K443" s="4">
        <v>0.60849213600158691</v>
      </c>
      <c r="L443" t="s">
        <v>1151</v>
      </c>
      <c r="M443">
        <v>0.34155619999999998</v>
      </c>
      <c r="N443" t="s">
        <v>731</v>
      </c>
      <c r="O443">
        <v>0.28449664000000002</v>
      </c>
      <c r="P443" t="s">
        <v>149</v>
      </c>
      <c r="Q443" s="4">
        <v>0.21130908000000001</v>
      </c>
      <c r="R443" t="s">
        <v>601</v>
      </c>
      <c r="S443">
        <v>0.33541409999999988</v>
      </c>
      <c r="T443" t="s">
        <v>599</v>
      </c>
      <c r="U443">
        <v>7.6372229999999999E-2</v>
      </c>
      <c r="V443" t="s">
        <v>1151</v>
      </c>
      <c r="W443">
        <v>7.1429320000000004E-2</v>
      </c>
    </row>
    <row r="444" spans="1:23" x14ac:dyDescent="0.25">
      <c r="A444" s="3" t="str">
        <f>HYPERLINK("http://ids.si.edu/ids/deliveryService?id=NMAH-AHB2017q059454","NMAH-AHB2017q059454")</f>
        <v>NMAH-AHB2017q059454</v>
      </c>
      <c r="B444" s="3" t="s">
        <v>1430</v>
      </c>
      <c r="C444" s="3">
        <v>1317292</v>
      </c>
      <c r="D444" s="3" t="s">
        <v>1167</v>
      </c>
      <c r="E444" s="4" t="s">
        <v>1431</v>
      </c>
      <c r="F444" t="s">
        <v>61</v>
      </c>
      <c r="G444">
        <v>0.86929196119308472</v>
      </c>
      <c r="H444" t="s">
        <v>132</v>
      </c>
      <c r="I444">
        <v>0.83633017539978027</v>
      </c>
      <c r="J444" t="s">
        <v>112</v>
      </c>
      <c r="K444" s="4">
        <v>0.74956268072128296</v>
      </c>
      <c r="L444" t="s">
        <v>209</v>
      </c>
      <c r="M444">
        <v>0.119115286</v>
      </c>
      <c r="N444" t="s">
        <v>95</v>
      </c>
      <c r="O444">
        <v>6.0350294999999998E-2</v>
      </c>
      <c r="P444" t="s">
        <v>460</v>
      </c>
      <c r="Q444" s="4">
        <v>5.654E-2</v>
      </c>
      <c r="R444" t="s">
        <v>151</v>
      </c>
      <c r="S444">
        <v>0.18806766</v>
      </c>
      <c r="T444" t="s">
        <v>303</v>
      </c>
      <c r="U444">
        <v>6.4101720000000001E-2</v>
      </c>
      <c r="V444" t="s">
        <v>93</v>
      </c>
      <c r="W444">
        <v>6.2107562999999998E-2</v>
      </c>
    </row>
    <row r="445" spans="1:23" x14ac:dyDescent="0.25">
      <c r="A445" s="3" t="str">
        <f>HYPERLINK("http://ids.si.edu/ids/deliveryService?id=NMAH-AHB2017q056717","NMAH-AHB2017q056717")</f>
        <v>NMAH-AHB2017q056717</v>
      </c>
      <c r="B445" s="3" t="s">
        <v>1432</v>
      </c>
      <c r="C445" s="3">
        <v>1344891</v>
      </c>
      <c r="D445" s="3" t="s">
        <v>1167</v>
      </c>
      <c r="E445" s="4" t="s">
        <v>1433</v>
      </c>
      <c r="F445" t="s">
        <v>486</v>
      </c>
      <c r="G445">
        <v>0.55130338668823242</v>
      </c>
      <c r="L445" t="s">
        <v>65</v>
      </c>
      <c r="M445">
        <v>0.34479502000000001</v>
      </c>
      <c r="N445" t="s">
        <v>209</v>
      </c>
      <c r="O445">
        <v>0.16359973999999999</v>
      </c>
      <c r="P445" t="s">
        <v>151</v>
      </c>
      <c r="Q445" s="4">
        <v>0.10957913</v>
      </c>
      <c r="R445" t="s">
        <v>151</v>
      </c>
      <c r="S445">
        <v>0.23148942</v>
      </c>
      <c r="T445" t="s">
        <v>209</v>
      </c>
      <c r="U445">
        <v>0.14752245</v>
      </c>
      <c r="V445" t="s">
        <v>66</v>
      </c>
      <c r="W445">
        <v>0.123262435</v>
      </c>
    </row>
    <row r="446" spans="1:23" x14ac:dyDescent="0.25">
      <c r="A446" s="3" t="str">
        <f>HYPERLINK("http://ids.si.edu/ids/deliveryService?id=NMAH-AHB2013q064457","NMAH-AHB2013q064457")</f>
        <v>NMAH-AHB2013q064457</v>
      </c>
      <c r="B446" s="3" t="s">
        <v>1434</v>
      </c>
      <c r="C446" s="3">
        <v>1435242</v>
      </c>
      <c r="D446" s="3" t="s">
        <v>1167</v>
      </c>
      <c r="E446" s="4" t="s">
        <v>1435</v>
      </c>
      <c r="F446" t="s">
        <v>748</v>
      </c>
      <c r="G446">
        <v>0.82193177938461304</v>
      </c>
      <c r="H446" t="s">
        <v>206</v>
      </c>
      <c r="I446">
        <v>0.70763480663299561</v>
      </c>
      <c r="J446" t="s">
        <v>38</v>
      </c>
      <c r="K446" s="4">
        <v>0.69414693117141724</v>
      </c>
      <c r="L446" t="s">
        <v>260</v>
      </c>
      <c r="M446">
        <v>0.40765244</v>
      </c>
      <c r="N446" t="s">
        <v>52</v>
      </c>
      <c r="O446">
        <v>0.13923031</v>
      </c>
      <c r="P446" t="s">
        <v>253</v>
      </c>
      <c r="Q446" s="4">
        <v>0.10376046</v>
      </c>
      <c r="R446" t="s">
        <v>66</v>
      </c>
      <c r="S446">
        <v>0.11998080999999999</v>
      </c>
      <c r="T446" t="s">
        <v>151</v>
      </c>
      <c r="U446">
        <v>6.6681850000000001E-2</v>
      </c>
      <c r="V446" t="s">
        <v>52</v>
      </c>
      <c r="W446">
        <v>6.5689280000000003E-2</v>
      </c>
    </row>
    <row r="447" spans="1:23" x14ac:dyDescent="0.25">
      <c r="A447" s="3" t="str">
        <f>HYPERLINK("http://ids.si.edu/ids/deliveryService?id=NMAH-AHB2017q126862","NMAH-AHB2017q126862")</f>
        <v>NMAH-AHB2017q126862</v>
      </c>
      <c r="B447" s="3" t="s">
        <v>1436</v>
      </c>
      <c r="C447" s="3">
        <v>168</v>
      </c>
      <c r="D447" s="3" t="s">
        <v>1167</v>
      </c>
      <c r="E447" s="4" t="s">
        <v>1437</v>
      </c>
      <c r="L447" t="s">
        <v>648</v>
      </c>
      <c r="M447">
        <v>0.18759239</v>
      </c>
      <c r="N447" t="s">
        <v>597</v>
      </c>
      <c r="O447">
        <v>0.14842157</v>
      </c>
      <c r="P447" t="s">
        <v>598</v>
      </c>
      <c r="Q447" s="4">
        <v>9.3528755000000005E-2</v>
      </c>
      <c r="R447" t="s">
        <v>597</v>
      </c>
      <c r="S447">
        <v>0.47081444</v>
      </c>
      <c r="T447" t="s">
        <v>598</v>
      </c>
      <c r="U447">
        <v>0.25317447999999998</v>
      </c>
      <c r="V447" t="s">
        <v>1438</v>
      </c>
      <c r="W447">
        <v>8.2974049999999994E-2</v>
      </c>
    </row>
    <row r="448" spans="1:23" x14ac:dyDescent="0.25">
      <c r="A448" s="3" t="str">
        <f>HYPERLINK("http://ids.si.edu/ids/deliveryService?id=NMAH-AHB2011q43000","NMAH-AHB2011q43000")</f>
        <v>NMAH-AHB2011q43000</v>
      </c>
      <c r="B448" s="3" t="s">
        <v>1439</v>
      </c>
      <c r="C448" s="3">
        <v>1142733</v>
      </c>
      <c r="D448" s="3" t="s">
        <v>1167</v>
      </c>
      <c r="E448" s="4" t="s">
        <v>1440</v>
      </c>
      <c r="F448" t="s">
        <v>91</v>
      </c>
      <c r="G448">
        <v>0.96559286117553711</v>
      </c>
      <c r="H448" t="s">
        <v>1187</v>
      </c>
      <c r="I448">
        <v>0.78894972801208496</v>
      </c>
      <c r="J448" t="s">
        <v>1441</v>
      </c>
      <c r="K448" s="4">
        <v>0.64868342876434326</v>
      </c>
      <c r="L448" t="s">
        <v>923</v>
      </c>
      <c r="M448">
        <v>0.35507175000000002</v>
      </c>
      <c r="N448" t="s">
        <v>363</v>
      </c>
      <c r="O448">
        <v>0.13086648000000001</v>
      </c>
      <c r="P448" t="s">
        <v>334</v>
      </c>
      <c r="Q448" s="4">
        <v>5.5134772999999998E-2</v>
      </c>
      <c r="R448" t="s">
        <v>923</v>
      </c>
      <c r="S448">
        <v>0.70275443999999998</v>
      </c>
      <c r="T448" t="s">
        <v>363</v>
      </c>
      <c r="U448">
        <v>6.6031486E-2</v>
      </c>
      <c r="V448" t="s">
        <v>821</v>
      </c>
      <c r="W448">
        <v>3.8560077999999998E-2</v>
      </c>
    </row>
    <row r="449" spans="1:23" x14ac:dyDescent="0.25">
      <c r="A449" s="3" t="str">
        <f>HYPERLINK("http://ids.si.edu/ids/deliveryService?id=NMAH-AHB2017q059150","NMAH-AHB2017q059150")</f>
        <v>NMAH-AHB2017q059150</v>
      </c>
      <c r="B449" s="3" t="s">
        <v>1442</v>
      </c>
      <c r="C449" s="3">
        <v>1335766</v>
      </c>
      <c r="D449" s="3" t="s">
        <v>1167</v>
      </c>
      <c r="E449" s="4" t="s">
        <v>1443</v>
      </c>
      <c r="F449" t="s">
        <v>188</v>
      </c>
      <c r="G449">
        <v>0.74979531764984131</v>
      </c>
      <c r="H449" t="s">
        <v>49</v>
      </c>
      <c r="I449">
        <v>0.64852577447891235</v>
      </c>
      <c r="J449" t="s">
        <v>50</v>
      </c>
      <c r="K449" s="4">
        <v>0.5114516019821167</v>
      </c>
      <c r="L449" t="s">
        <v>149</v>
      </c>
      <c r="M449">
        <v>0.27358589999999999</v>
      </c>
      <c r="N449" t="s">
        <v>369</v>
      </c>
      <c r="O449">
        <v>0.21833272000000001</v>
      </c>
      <c r="P449" t="s">
        <v>31</v>
      </c>
      <c r="Q449" s="4">
        <v>0.20431141999999999</v>
      </c>
      <c r="R449" t="s">
        <v>765</v>
      </c>
      <c r="S449">
        <v>0.13144252000000001</v>
      </c>
      <c r="T449" t="s">
        <v>369</v>
      </c>
      <c r="U449">
        <v>0.11102379</v>
      </c>
      <c r="V449" t="s">
        <v>261</v>
      </c>
      <c r="W449">
        <v>7.3056640000000006E-2</v>
      </c>
    </row>
    <row r="450" spans="1:23" x14ac:dyDescent="0.25">
      <c r="A450" s="3" t="str">
        <f>HYPERLINK("http://ids.si.edu/ids/deliveryService?id=NMAH-AHB2017q126366","NMAH-AHB2017q126366")</f>
        <v>NMAH-AHB2017q126366</v>
      </c>
      <c r="B450" s="3" t="s">
        <v>1444</v>
      </c>
      <c r="C450" s="3">
        <v>1421131</v>
      </c>
      <c r="D450" s="3" t="s">
        <v>1167</v>
      </c>
      <c r="E450" s="4" t="s">
        <v>1445</v>
      </c>
      <c r="F450" t="s">
        <v>132</v>
      </c>
      <c r="G450">
        <v>0.89360731840133667</v>
      </c>
      <c r="H450" t="s">
        <v>697</v>
      </c>
      <c r="I450">
        <v>0.70089256763458252</v>
      </c>
      <c r="J450" t="s">
        <v>656</v>
      </c>
      <c r="K450" s="4">
        <v>0.69783449172973633</v>
      </c>
      <c r="L450" t="s">
        <v>436</v>
      </c>
      <c r="M450">
        <v>0.18122488</v>
      </c>
      <c r="N450" t="s">
        <v>190</v>
      </c>
      <c r="O450">
        <v>0.10350684</v>
      </c>
      <c r="P450" t="s">
        <v>159</v>
      </c>
      <c r="Q450" s="4">
        <v>0.103310734</v>
      </c>
      <c r="R450" t="s">
        <v>159</v>
      </c>
      <c r="S450">
        <v>8.6026974000000006E-2</v>
      </c>
      <c r="T450" t="s">
        <v>1446</v>
      </c>
      <c r="U450">
        <v>7.1734829999999999E-2</v>
      </c>
      <c r="V450" t="s">
        <v>246</v>
      </c>
      <c r="W450">
        <v>3.7028279999999997E-2</v>
      </c>
    </row>
    <row r="451" spans="1:23" x14ac:dyDescent="0.25">
      <c r="A451" s="3" t="str">
        <f>HYPERLINK("http://ids.si.edu/ids/deliveryService?id=NMAH-AHB2012q63065","NMAH-AHB2012q63065")</f>
        <v>NMAH-AHB2012q63065</v>
      </c>
      <c r="B451" s="3" t="s">
        <v>1447</v>
      </c>
      <c r="C451" s="3">
        <v>1298496</v>
      </c>
      <c r="D451" s="3" t="s">
        <v>1167</v>
      </c>
      <c r="E451" s="4" t="s">
        <v>1173</v>
      </c>
      <c r="F451" t="s">
        <v>91</v>
      </c>
      <c r="G451">
        <v>0.96184420585632324</v>
      </c>
      <c r="H451" t="s">
        <v>1174</v>
      </c>
      <c r="I451">
        <v>0.71560049057006836</v>
      </c>
      <c r="J451" t="s">
        <v>1448</v>
      </c>
      <c r="K451" s="4">
        <v>0.67571598291397095</v>
      </c>
      <c r="L451" t="s">
        <v>1163</v>
      </c>
      <c r="M451">
        <v>0.18251131000000001</v>
      </c>
      <c r="N451" t="s">
        <v>362</v>
      </c>
      <c r="O451">
        <v>0.15491440000000001</v>
      </c>
      <c r="P451" t="s">
        <v>363</v>
      </c>
      <c r="Q451" s="4">
        <v>7.8154169999999995E-2</v>
      </c>
      <c r="R451" t="s">
        <v>362</v>
      </c>
      <c r="S451">
        <v>0.1685014</v>
      </c>
      <c r="T451" t="s">
        <v>627</v>
      </c>
      <c r="U451">
        <v>0.1521758</v>
      </c>
      <c r="V451" t="s">
        <v>363</v>
      </c>
      <c r="W451">
        <v>8.7980340000000004E-2</v>
      </c>
    </row>
    <row r="452" spans="1:23" x14ac:dyDescent="0.25">
      <c r="A452" s="3" t="str">
        <f>HYPERLINK("http://ids.si.edu/ids/deliveryService?id=NMAH-JN2015-5592","NMAH-JN2015-5592")</f>
        <v>NMAH-JN2015-5592</v>
      </c>
      <c r="B452" s="3" t="s">
        <v>1449</v>
      </c>
      <c r="C452" s="3">
        <v>931517</v>
      </c>
      <c r="D452" s="3" t="s">
        <v>1450</v>
      </c>
      <c r="E452" s="4" t="s">
        <v>1451</v>
      </c>
      <c r="F452" t="s">
        <v>50</v>
      </c>
      <c r="G452">
        <v>0.7537727952003479</v>
      </c>
      <c r="H452" t="s">
        <v>196</v>
      </c>
      <c r="I452">
        <v>0.70026475191116333</v>
      </c>
      <c r="J452" t="s">
        <v>486</v>
      </c>
      <c r="K452" s="4">
        <v>0.55130338668823242</v>
      </c>
      <c r="L452" t="s">
        <v>338</v>
      </c>
      <c r="M452">
        <v>0.15525369999999999</v>
      </c>
      <c r="N452" t="s">
        <v>426</v>
      </c>
      <c r="O452">
        <v>0.14009479</v>
      </c>
      <c r="P452" t="s">
        <v>571</v>
      </c>
      <c r="Q452" s="4">
        <v>0.10441375999999999</v>
      </c>
      <c r="R452" t="s">
        <v>303</v>
      </c>
      <c r="S452">
        <v>0.11120086</v>
      </c>
      <c r="T452" t="s">
        <v>426</v>
      </c>
      <c r="U452">
        <v>3.4289535000000003E-2</v>
      </c>
      <c r="V452" t="s">
        <v>334</v>
      </c>
      <c r="W452">
        <v>3.1595459999999999E-2</v>
      </c>
    </row>
    <row r="453" spans="1:23" x14ac:dyDescent="0.25">
      <c r="A453" s="3" t="str">
        <f>HYPERLINK("http://ids.si.edu/ids/deliveryService?id=NMAH-JN2016-03080-000001","NMAH-JN2016-03080-000001")</f>
        <v>NMAH-JN2016-03080-000001</v>
      </c>
      <c r="B453" s="3" t="s">
        <v>1452</v>
      </c>
      <c r="C453" s="3">
        <v>1101602</v>
      </c>
      <c r="D453" s="3" t="s">
        <v>1450</v>
      </c>
      <c r="E453" s="4" t="s">
        <v>1453</v>
      </c>
      <c r="F453" t="s">
        <v>61</v>
      </c>
      <c r="G453">
        <v>0.93072229623794556</v>
      </c>
      <c r="H453" t="s">
        <v>112</v>
      </c>
      <c r="I453">
        <v>0.88542389869689941</v>
      </c>
      <c r="J453" t="s">
        <v>50</v>
      </c>
      <c r="K453" s="4">
        <v>0.7381446361541748</v>
      </c>
      <c r="L453" t="s">
        <v>426</v>
      </c>
      <c r="M453">
        <v>0.94780799999999998</v>
      </c>
      <c r="N453" t="s">
        <v>65</v>
      </c>
      <c r="O453">
        <v>8.0009290000000004E-3</v>
      </c>
      <c r="P453" t="s">
        <v>45</v>
      </c>
      <c r="Q453" s="4">
        <v>4.3595589999999998E-3</v>
      </c>
      <c r="R453" t="s">
        <v>426</v>
      </c>
      <c r="S453">
        <v>0.95955794999999999</v>
      </c>
      <c r="T453" t="s">
        <v>1454</v>
      </c>
      <c r="U453">
        <v>4.8325770000000002E-3</v>
      </c>
      <c r="V453" t="s">
        <v>443</v>
      </c>
      <c r="W453">
        <v>2.7304345000000001E-3</v>
      </c>
    </row>
    <row r="454" spans="1:23" x14ac:dyDescent="0.25">
      <c r="A454" s="3" t="str">
        <f>HYPERLINK("http://ids.si.edu/ids/deliveryService?id=NMAH-2011-00217-000001","NMAH-2011-00217-000001")</f>
        <v>NMAH-2011-00217-000001</v>
      </c>
      <c r="B454" s="3" t="s">
        <v>1455</v>
      </c>
      <c r="C454" s="3">
        <v>1367574</v>
      </c>
      <c r="D454" s="3" t="s">
        <v>1450</v>
      </c>
      <c r="E454" s="4" t="s">
        <v>263</v>
      </c>
      <c r="F454" t="s">
        <v>1456</v>
      </c>
      <c r="G454">
        <v>0.80586153268814087</v>
      </c>
      <c r="H454" t="s">
        <v>728</v>
      </c>
      <c r="I454">
        <v>0.79150891304016113</v>
      </c>
      <c r="J454" t="s">
        <v>1231</v>
      </c>
      <c r="K454" s="4">
        <v>0.78692406415939331</v>
      </c>
      <c r="L454" t="s">
        <v>66</v>
      </c>
      <c r="M454">
        <v>0.52823865000000003</v>
      </c>
      <c r="N454" t="s">
        <v>65</v>
      </c>
      <c r="O454">
        <v>0.40441176000000001</v>
      </c>
      <c r="P454" t="s">
        <v>152</v>
      </c>
      <c r="Q454" s="4">
        <v>2.121785E-2</v>
      </c>
      <c r="R454" t="s">
        <v>66</v>
      </c>
      <c r="S454">
        <v>0.20935586</v>
      </c>
      <c r="T454" t="s">
        <v>65</v>
      </c>
      <c r="U454">
        <v>0.17573632</v>
      </c>
      <c r="V454" t="s">
        <v>305</v>
      </c>
      <c r="W454">
        <v>0.17189278999999999</v>
      </c>
    </row>
    <row r="455" spans="1:23" x14ac:dyDescent="0.25">
      <c r="A455" s="3" t="str">
        <f>HYPERLINK("http://ids.si.edu/ids/deliveryService?id=NMAH-2008-10518-000001","NMAH-2008-10518-000001")</f>
        <v>NMAH-2008-10518-000001</v>
      </c>
      <c r="B455" s="3" t="s">
        <v>1457</v>
      </c>
      <c r="C455" s="3">
        <v>1341579</v>
      </c>
      <c r="D455" s="3" t="s">
        <v>1450</v>
      </c>
      <c r="E455" s="4" t="s">
        <v>1458</v>
      </c>
      <c r="F455" t="s">
        <v>91</v>
      </c>
      <c r="G455">
        <v>0.91031128168106079</v>
      </c>
      <c r="H455" t="s">
        <v>1108</v>
      </c>
      <c r="I455">
        <v>0.87936311960220337</v>
      </c>
      <c r="J455" t="s">
        <v>1459</v>
      </c>
      <c r="K455" s="4">
        <v>0.82693761587142944</v>
      </c>
      <c r="L455" t="s">
        <v>226</v>
      </c>
      <c r="M455">
        <v>0.6352741999999999</v>
      </c>
      <c r="N455" t="s">
        <v>1028</v>
      </c>
      <c r="O455">
        <v>0.13714615999999999</v>
      </c>
      <c r="P455" t="s">
        <v>209</v>
      </c>
      <c r="Q455" s="4">
        <v>0.12305619</v>
      </c>
      <c r="R455" t="s">
        <v>209</v>
      </c>
      <c r="S455">
        <v>0.15207908000000001</v>
      </c>
      <c r="T455" t="s">
        <v>226</v>
      </c>
      <c r="U455">
        <v>0.13109022000000001</v>
      </c>
      <c r="V455" t="s">
        <v>398</v>
      </c>
      <c r="W455">
        <v>0.108335406</v>
      </c>
    </row>
    <row r="456" spans="1:23" x14ac:dyDescent="0.25">
      <c r="A456" s="3" t="str">
        <f>HYPERLINK("http://ids.si.edu/ids/deliveryService?id=NMAH-ET2013-16440","NMAH-ET2013-16440")</f>
        <v>NMAH-ET2013-16440</v>
      </c>
      <c r="B456" s="3" t="s">
        <v>1460</v>
      </c>
      <c r="C456" s="3">
        <v>1081976</v>
      </c>
      <c r="D456" s="3" t="s">
        <v>1450</v>
      </c>
      <c r="E456" s="4" t="s">
        <v>1451</v>
      </c>
      <c r="F456" t="s">
        <v>1461</v>
      </c>
      <c r="G456">
        <v>0.98919755220413208</v>
      </c>
      <c r="H456" t="s">
        <v>1462</v>
      </c>
      <c r="I456">
        <v>0.98115688562393188</v>
      </c>
      <c r="J456" t="s">
        <v>1463</v>
      </c>
      <c r="K456" s="4">
        <v>0.97194463014602661</v>
      </c>
      <c r="L456" t="s">
        <v>336</v>
      </c>
      <c r="M456">
        <v>0.18268598999999999</v>
      </c>
      <c r="N456" t="s">
        <v>571</v>
      </c>
      <c r="O456">
        <v>9.7311339999999996E-2</v>
      </c>
      <c r="P456" t="s">
        <v>450</v>
      </c>
      <c r="Q456" s="4">
        <v>8.3981429999999996E-2</v>
      </c>
      <c r="R456" t="s">
        <v>1093</v>
      </c>
      <c r="S456">
        <v>0.28208408000000001</v>
      </c>
      <c r="T456" t="s">
        <v>336</v>
      </c>
      <c r="U456">
        <v>9.6890143999999997E-2</v>
      </c>
      <c r="V456" t="s">
        <v>71</v>
      </c>
      <c r="W456">
        <v>7.4191919999999995E-2</v>
      </c>
    </row>
    <row r="457" spans="1:23" x14ac:dyDescent="0.25">
      <c r="A457" s="3" t="str">
        <f>HYPERLINK("http://ids.si.edu/ids/deliveryService?id=NMAH-2011-00229","NMAH-2011-00229")</f>
        <v>NMAH-2011-00229</v>
      </c>
      <c r="B457" s="3" t="s">
        <v>1464</v>
      </c>
      <c r="C457" s="3">
        <v>1373622</v>
      </c>
      <c r="D457" s="3" t="s">
        <v>1450</v>
      </c>
      <c r="E457" s="4" t="s">
        <v>59</v>
      </c>
      <c r="F457" t="s">
        <v>1463</v>
      </c>
      <c r="G457">
        <v>0.91952276229858398</v>
      </c>
      <c r="H457" t="s">
        <v>1462</v>
      </c>
      <c r="I457">
        <v>0.88238972425460815</v>
      </c>
      <c r="J457" t="s">
        <v>662</v>
      </c>
      <c r="K457" s="4">
        <v>0.8762359619140625</v>
      </c>
      <c r="L457" t="s">
        <v>336</v>
      </c>
      <c r="M457">
        <v>0.49301159999999999</v>
      </c>
      <c r="N457" t="s">
        <v>65</v>
      </c>
      <c r="O457">
        <v>0.1175307</v>
      </c>
      <c r="P457" t="s">
        <v>426</v>
      </c>
      <c r="Q457" s="4">
        <v>4.4682685E-2</v>
      </c>
      <c r="R457" t="s">
        <v>65</v>
      </c>
      <c r="S457">
        <v>0.29179274999999999</v>
      </c>
      <c r="T457" t="s">
        <v>426</v>
      </c>
      <c r="U457">
        <v>0.15581094000000001</v>
      </c>
      <c r="V457" t="s">
        <v>305</v>
      </c>
      <c r="W457">
        <v>0.14243998999999999</v>
      </c>
    </row>
    <row r="458" spans="1:23" x14ac:dyDescent="0.25">
      <c r="A458" s="3" t="str">
        <f>HYPERLINK("http://ids.si.edu/ids/deliveryService?id=NMAH-ET2013-16429","NMAH-ET2013-16429")</f>
        <v>NMAH-ET2013-16429</v>
      </c>
      <c r="B458" s="3" t="s">
        <v>1466</v>
      </c>
      <c r="C458" s="3">
        <v>1440611</v>
      </c>
      <c r="D458" s="3" t="s">
        <v>1450</v>
      </c>
      <c r="E458" s="4" t="s">
        <v>1467</v>
      </c>
      <c r="F458" t="s">
        <v>1461</v>
      </c>
      <c r="G458">
        <v>0.9529004693031311</v>
      </c>
      <c r="H458" t="s">
        <v>1462</v>
      </c>
      <c r="I458">
        <v>0.91032040119171143</v>
      </c>
      <c r="J458" t="s">
        <v>1463</v>
      </c>
      <c r="K458" s="4">
        <v>0.90628886222839355</v>
      </c>
      <c r="L458" t="s">
        <v>571</v>
      </c>
      <c r="M458">
        <v>0.58507365</v>
      </c>
      <c r="N458" t="s">
        <v>338</v>
      </c>
      <c r="O458">
        <v>5.3164675999999987E-2</v>
      </c>
      <c r="P458" t="s">
        <v>1052</v>
      </c>
      <c r="Q458" s="4">
        <v>4.7502320000000001E-2</v>
      </c>
      <c r="R458" t="s">
        <v>336</v>
      </c>
      <c r="S458">
        <v>7.8152269999999996E-2</v>
      </c>
      <c r="T458" t="s">
        <v>259</v>
      </c>
      <c r="U458">
        <v>6.7952440000000003E-2</v>
      </c>
      <c r="V458" t="s">
        <v>1093</v>
      </c>
      <c r="W458">
        <v>5.0808451999999997E-2</v>
      </c>
    </row>
    <row r="459" spans="1:23" x14ac:dyDescent="0.25">
      <c r="A459" s="3" t="str">
        <f>HYPERLINK("http://ids.si.edu/ids/deliveryService?id=NMAH-2011-00233","NMAH-2011-00233")</f>
        <v>NMAH-2011-00233</v>
      </c>
      <c r="B459" s="3" t="s">
        <v>1468</v>
      </c>
      <c r="C459" s="3">
        <v>1373633</v>
      </c>
      <c r="D459" s="3" t="s">
        <v>1450</v>
      </c>
      <c r="E459" s="4" t="s">
        <v>59</v>
      </c>
      <c r="F459" t="s">
        <v>1461</v>
      </c>
      <c r="G459">
        <v>0.93379348516464233</v>
      </c>
      <c r="H459" t="s">
        <v>50</v>
      </c>
      <c r="I459">
        <v>0.92815607786178589</v>
      </c>
      <c r="J459" t="s">
        <v>1469</v>
      </c>
      <c r="K459" s="4">
        <v>0.90595865249633789</v>
      </c>
      <c r="L459" t="s">
        <v>426</v>
      </c>
      <c r="M459">
        <v>0.18521860000000001</v>
      </c>
      <c r="N459" t="s">
        <v>336</v>
      </c>
      <c r="O459">
        <v>0.11331563</v>
      </c>
      <c r="P459" t="s">
        <v>259</v>
      </c>
      <c r="Q459" s="4">
        <v>9.4459995999999991E-2</v>
      </c>
      <c r="R459" t="s">
        <v>426</v>
      </c>
      <c r="S459">
        <v>0.51784646999999995</v>
      </c>
      <c r="T459" t="s">
        <v>259</v>
      </c>
      <c r="U459">
        <v>8.7547330000000007E-2</v>
      </c>
      <c r="V459" t="s">
        <v>305</v>
      </c>
      <c r="W459">
        <v>8.7023160000000002E-2</v>
      </c>
    </row>
    <row r="460" spans="1:23" x14ac:dyDescent="0.25">
      <c r="A460" s="3" t="str">
        <f>HYPERLINK("http://ids.si.edu/ids/deliveryService?id=NMAH-ET2013-16371","NMAH-ET2013-16371")</f>
        <v>NMAH-ET2013-16371</v>
      </c>
      <c r="B460" s="3" t="s">
        <v>1470</v>
      </c>
      <c r="C460" s="3">
        <v>1448107</v>
      </c>
      <c r="D460" s="3" t="s">
        <v>1450</v>
      </c>
      <c r="E460" s="4" t="s">
        <v>1467</v>
      </c>
      <c r="F460" t="s">
        <v>1461</v>
      </c>
      <c r="G460">
        <v>0.98919755220413208</v>
      </c>
      <c r="H460" t="s">
        <v>1462</v>
      </c>
      <c r="I460">
        <v>0.97917449474334717</v>
      </c>
      <c r="J460" t="s">
        <v>1463</v>
      </c>
      <c r="K460" s="4">
        <v>0.96567058563232422</v>
      </c>
      <c r="L460" t="s">
        <v>571</v>
      </c>
      <c r="M460">
        <v>0.62145733999999997</v>
      </c>
      <c r="N460" t="s">
        <v>338</v>
      </c>
      <c r="O460">
        <v>0.21836206</v>
      </c>
      <c r="P460" t="s">
        <v>1454</v>
      </c>
      <c r="Q460" s="4">
        <v>2.1609949E-2</v>
      </c>
      <c r="R460" t="s">
        <v>571</v>
      </c>
      <c r="S460">
        <v>8.0028810000000006E-2</v>
      </c>
      <c r="T460" t="s">
        <v>336</v>
      </c>
      <c r="U460">
        <v>5.6561735000000002E-2</v>
      </c>
      <c r="V460" t="s">
        <v>71</v>
      </c>
      <c r="W460">
        <v>5.4796240000000003E-2</v>
      </c>
    </row>
    <row r="461" spans="1:23" x14ac:dyDescent="0.25">
      <c r="A461" s="3" t="str">
        <f>HYPERLINK("http://ids.si.edu/ids/deliveryService?id=NMAH-2011-00220-000001","NMAH-2011-00220-000001")</f>
        <v>NMAH-2011-00220-000001</v>
      </c>
      <c r="B461" s="3" t="s">
        <v>1471</v>
      </c>
      <c r="C461" s="3">
        <v>1367779</v>
      </c>
      <c r="D461" s="3" t="s">
        <v>1450</v>
      </c>
      <c r="E461" s="4" t="s">
        <v>263</v>
      </c>
      <c r="F461" t="s">
        <v>112</v>
      </c>
      <c r="G461">
        <v>0.80401664972305298</v>
      </c>
      <c r="H461" t="s">
        <v>1472</v>
      </c>
      <c r="I461">
        <v>0.66012930870056152</v>
      </c>
      <c r="J461" t="s">
        <v>728</v>
      </c>
      <c r="K461" s="4">
        <v>0.63150870800018311</v>
      </c>
      <c r="L461" t="s">
        <v>65</v>
      </c>
      <c r="M461">
        <v>0.28935450000000001</v>
      </c>
      <c r="N461" t="s">
        <v>66</v>
      </c>
      <c r="O461">
        <v>0.14499232000000001</v>
      </c>
      <c r="P461" t="s">
        <v>303</v>
      </c>
      <c r="Q461" s="4">
        <v>9.5466679999999998E-2</v>
      </c>
      <c r="R461" t="s">
        <v>65</v>
      </c>
      <c r="S461">
        <v>0.12353847</v>
      </c>
      <c r="T461" t="s">
        <v>66</v>
      </c>
      <c r="U461">
        <v>7.7033593999999997E-2</v>
      </c>
      <c r="V461" t="s">
        <v>426</v>
      </c>
      <c r="W461">
        <v>7.3442830000000001E-2</v>
      </c>
    </row>
    <row r="462" spans="1:23" x14ac:dyDescent="0.25">
      <c r="A462" s="3" t="str">
        <f>HYPERLINK("http://ids.si.edu/ids/deliveryService?id=NMAH-2011-00218","NMAH-2011-00218")</f>
        <v>NMAH-2011-00218</v>
      </c>
      <c r="B462" s="3" t="s">
        <v>1473</v>
      </c>
      <c r="C462" s="3">
        <v>1367575</v>
      </c>
      <c r="D462" s="3" t="s">
        <v>1450</v>
      </c>
      <c r="E462" s="4" t="s">
        <v>263</v>
      </c>
      <c r="F462" t="s">
        <v>61</v>
      </c>
      <c r="G462">
        <v>0.88115477561950684</v>
      </c>
      <c r="H462" t="s">
        <v>728</v>
      </c>
      <c r="I462">
        <v>0.80687892436981201</v>
      </c>
      <c r="J462" t="s">
        <v>1474</v>
      </c>
      <c r="K462" s="4">
        <v>0.73673528432846069</v>
      </c>
      <c r="L462" t="s">
        <v>65</v>
      </c>
      <c r="M462">
        <v>0.77846150000000003</v>
      </c>
      <c r="N462" t="s">
        <v>66</v>
      </c>
      <c r="O462">
        <v>0.1829779</v>
      </c>
      <c r="P462" t="s">
        <v>209</v>
      </c>
      <c r="Q462" s="4">
        <v>6.0302919999999996E-3</v>
      </c>
      <c r="R462" t="s">
        <v>65</v>
      </c>
      <c r="S462">
        <v>0.18195227999999999</v>
      </c>
      <c r="T462" t="s">
        <v>66</v>
      </c>
      <c r="U462">
        <v>0.17306182000000001</v>
      </c>
      <c r="V462" t="s">
        <v>305</v>
      </c>
      <c r="W462">
        <v>9.6165634999999999E-2</v>
      </c>
    </row>
    <row r="463" spans="1:23" x14ac:dyDescent="0.25">
      <c r="A463" s="3" t="str">
        <f>HYPERLINK("http://ids.si.edu/ids/deliveryService?id=NMAH-2006-7464","NMAH-2006-7464")</f>
        <v>NMAH-2006-7464</v>
      </c>
      <c r="B463" s="3" t="s">
        <v>1475</v>
      </c>
      <c r="C463" s="3">
        <v>1066275</v>
      </c>
      <c r="D463" s="3" t="s">
        <v>1450</v>
      </c>
      <c r="E463" s="4" t="s">
        <v>1476</v>
      </c>
      <c r="F463" t="s">
        <v>112</v>
      </c>
      <c r="G463">
        <v>0.68572378158569336</v>
      </c>
      <c r="H463" t="s">
        <v>236</v>
      </c>
      <c r="I463">
        <v>0.54227489233016968</v>
      </c>
      <c r="L463" t="s">
        <v>923</v>
      </c>
      <c r="M463">
        <v>0.24292651000000001</v>
      </c>
      <c r="N463" t="s">
        <v>628</v>
      </c>
      <c r="O463">
        <v>9.4626755000000007E-2</v>
      </c>
      <c r="P463" t="s">
        <v>585</v>
      </c>
      <c r="Q463" s="4">
        <v>7.0282794999999995E-2</v>
      </c>
      <c r="R463" t="s">
        <v>923</v>
      </c>
      <c r="S463">
        <v>0.20480052000000001</v>
      </c>
      <c r="T463" t="s">
        <v>190</v>
      </c>
      <c r="U463">
        <v>0.17782893999999999</v>
      </c>
      <c r="V463" t="s">
        <v>585</v>
      </c>
      <c r="W463">
        <v>6.3941719999999994E-2</v>
      </c>
    </row>
    <row r="464" spans="1:23" x14ac:dyDescent="0.25">
      <c r="A464" s="3" t="str">
        <f>HYPERLINK("http://ids.si.edu/ids/deliveryService?id=NMAH-JN2016-03074-000001","NMAH-JN2016-03074-000001")</f>
        <v>NMAH-JN2016-03074-000001</v>
      </c>
      <c r="B464" s="3" t="s">
        <v>1477</v>
      </c>
      <c r="C464" s="3">
        <v>1805054</v>
      </c>
      <c r="D464" s="3" t="s">
        <v>1450</v>
      </c>
      <c r="E464" s="4" t="s">
        <v>1451</v>
      </c>
      <c r="F464" t="s">
        <v>1461</v>
      </c>
      <c r="G464">
        <v>0.98338675498962402</v>
      </c>
      <c r="H464" t="s">
        <v>1462</v>
      </c>
      <c r="I464">
        <v>0.97332322597503662</v>
      </c>
      <c r="J464" t="s">
        <v>1463</v>
      </c>
      <c r="K464" s="4">
        <v>0.96162617206573486</v>
      </c>
      <c r="L464" t="s">
        <v>1478</v>
      </c>
      <c r="M464">
        <v>0.13787556000000001</v>
      </c>
      <c r="N464" t="s">
        <v>320</v>
      </c>
      <c r="O464">
        <v>0.12517722000000001</v>
      </c>
      <c r="P464" t="s">
        <v>523</v>
      </c>
      <c r="Q464" s="4">
        <v>0.10656677000000001</v>
      </c>
      <c r="R464" t="s">
        <v>523</v>
      </c>
      <c r="S464">
        <v>0.63113266000000001</v>
      </c>
      <c r="T464" t="s">
        <v>784</v>
      </c>
      <c r="U464">
        <v>0.17284906999999999</v>
      </c>
      <c r="V464" t="s">
        <v>203</v>
      </c>
      <c r="W464">
        <v>6.0318484999999998E-2</v>
      </c>
    </row>
    <row r="465" spans="1:23" x14ac:dyDescent="0.25">
      <c r="A465" s="3" t="str">
        <f>HYPERLINK("http://ids.si.edu/ids/deliveryService?id=NMAH-JN2016-01096","NMAH-JN2016-01096")</f>
        <v>NMAH-JN2016-01096</v>
      </c>
      <c r="B465" s="3" t="s">
        <v>1479</v>
      </c>
      <c r="C465" s="3">
        <v>1808153</v>
      </c>
      <c r="D465" s="3" t="s">
        <v>1450</v>
      </c>
      <c r="E465" s="4" t="s">
        <v>1451</v>
      </c>
      <c r="F465" t="s">
        <v>50</v>
      </c>
      <c r="G465">
        <v>0.84106016159057617</v>
      </c>
      <c r="H465" t="s">
        <v>667</v>
      </c>
      <c r="I465">
        <v>0.80954998731613159</v>
      </c>
      <c r="J465" t="s">
        <v>1461</v>
      </c>
      <c r="K465" s="4">
        <v>0.80469459295272827</v>
      </c>
      <c r="L465" t="s">
        <v>336</v>
      </c>
      <c r="M465">
        <v>0.12023628</v>
      </c>
      <c r="N465" t="s">
        <v>523</v>
      </c>
      <c r="O465">
        <v>8.0544569999999996E-2</v>
      </c>
      <c r="P465" t="s">
        <v>784</v>
      </c>
      <c r="Q465" s="4">
        <v>3.7352007E-2</v>
      </c>
      <c r="R465" t="s">
        <v>71</v>
      </c>
      <c r="S465">
        <v>0.47591030000000001</v>
      </c>
      <c r="T465" t="s">
        <v>259</v>
      </c>
      <c r="U465">
        <v>0.21955422999999999</v>
      </c>
      <c r="V465" t="s">
        <v>1093</v>
      </c>
      <c r="W465">
        <v>6.3139364000000003E-2</v>
      </c>
    </row>
    <row r="466" spans="1:23" x14ac:dyDescent="0.25">
      <c r="A466" s="3" t="str">
        <f>HYPERLINK("http://ids.si.edu/ids/deliveryService?id=NMAH-2011-00240","NMAH-2011-00240")</f>
        <v>NMAH-2011-00240</v>
      </c>
      <c r="B466" s="3" t="s">
        <v>1480</v>
      </c>
      <c r="C466" s="3">
        <v>1373645</v>
      </c>
      <c r="D466" s="3" t="s">
        <v>1450</v>
      </c>
      <c r="E466" s="4" t="s">
        <v>1481</v>
      </c>
      <c r="F466" t="s">
        <v>1482</v>
      </c>
      <c r="G466">
        <v>0.73929059505462646</v>
      </c>
      <c r="H466" t="s">
        <v>220</v>
      </c>
      <c r="I466">
        <v>0.73426347970962524</v>
      </c>
      <c r="J466" t="s">
        <v>112</v>
      </c>
      <c r="K466" s="4">
        <v>0.68572378158569336</v>
      </c>
      <c r="L466" t="s">
        <v>209</v>
      </c>
      <c r="M466">
        <v>0.31333506</v>
      </c>
      <c r="N466" t="s">
        <v>65</v>
      </c>
      <c r="O466">
        <v>0.21382333000000001</v>
      </c>
      <c r="P466" t="s">
        <v>29</v>
      </c>
      <c r="Q466" s="4">
        <v>6.2210172000000001E-2</v>
      </c>
      <c r="R466" t="s">
        <v>65</v>
      </c>
      <c r="S466">
        <v>0.2164365</v>
      </c>
      <c r="T466" t="s">
        <v>426</v>
      </c>
      <c r="U466">
        <v>0.10603412</v>
      </c>
      <c r="V466" t="s">
        <v>129</v>
      </c>
      <c r="W466">
        <v>9.7124470000000004E-2</v>
      </c>
    </row>
    <row r="467" spans="1:23" x14ac:dyDescent="0.25">
      <c r="A467" s="3" t="str">
        <f>HYPERLINK("http://ids.si.edu/ids/deliveryService?id=NMAH-JN2015-5925","NMAH-JN2015-5925")</f>
        <v>NMAH-JN2015-5925</v>
      </c>
      <c r="B467" s="3" t="s">
        <v>1483</v>
      </c>
      <c r="C467" s="3">
        <v>947283</v>
      </c>
      <c r="D467" s="3" t="s">
        <v>1450</v>
      </c>
      <c r="E467" s="4" t="s">
        <v>1451</v>
      </c>
      <c r="F467" t="s">
        <v>1461</v>
      </c>
      <c r="G467">
        <v>0.91309595108032227</v>
      </c>
      <c r="H467" t="s">
        <v>662</v>
      </c>
      <c r="I467">
        <v>0.90802228450775146</v>
      </c>
      <c r="J467" t="s">
        <v>1463</v>
      </c>
      <c r="K467" s="4">
        <v>0.90248960256576538</v>
      </c>
      <c r="L467" t="s">
        <v>336</v>
      </c>
      <c r="M467">
        <v>0.27492949999999999</v>
      </c>
      <c r="N467" t="s">
        <v>1093</v>
      </c>
      <c r="O467">
        <v>0.23253636</v>
      </c>
      <c r="P467" t="s">
        <v>259</v>
      </c>
      <c r="Q467" s="4">
        <v>4.3494709999999999E-2</v>
      </c>
      <c r="R467" t="s">
        <v>71</v>
      </c>
      <c r="S467">
        <v>0.70420980000000011</v>
      </c>
      <c r="T467" t="s">
        <v>450</v>
      </c>
      <c r="U467">
        <v>5.2213580000000002E-2</v>
      </c>
      <c r="V467" t="s">
        <v>1484</v>
      </c>
      <c r="W467">
        <v>2.1826899E-2</v>
      </c>
    </row>
    <row r="468" spans="1:23" x14ac:dyDescent="0.25">
      <c r="A468" s="3" t="str">
        <f>HYPERLINK("http://ids.si.edu/ids/deliveryService?id=NMAH-2011-00223-000001","NMAH-2011-00223-000001")</f>
        <v>NMAH-2011-00223-000001</v>
      </c>
      <c r="B468" s="3" t="s">
        <v>1485</v>
      </c>
      <c r="C468" s="3">
        <v>1369304</v>
      </c>
      <c r="D468" s="3" t="s">
        <v>1450</v>
      </c>
      <c r="E468" s="4" t="s">
        <v>263</v>
      </c>
      <c r="F468" t="s">
        <v>112</v>
      </c>
      <c r="G468">
        <v>0.68572378158569336</v>
      </c>
      <c r="H468" t="s">
        <v>220</v>
      </c>
      <c r="I468">
        <v>0.67664021253585815</v>
      </c>
      <c r="J468" t="s">
        <v>195</v>
      </c>
      <c r="K468" s="4">
        <v>0.62576180696487427</v>
      </c>
      <c r="L468" t="s">
        <v>66</v>
      </c>
      <c r="M468">
        <v>0.48149163</v>
      </c>
      <c r="N468" t="s">
        <v>65</v>
      </c>
      <c r="O468">
        <v>0.19772366</v>
      </c>
      <c r="P468" t="s">
        <v>305</v>
      </c>
      <c r="Q468" s="4">
        <v>0.13306238000000001</v>
      </c>
      <c r="R468" t="s">
        <v>305</v>
      </c>
      <c r="S468">
        <v>0.49157553999999998</v>
      </c>
      <c r="T468" t="s">
        <v>183</v>
      </c>
      <c r="U468">
        <v>6.8207933999999998E-2</v>
      </c>
      <c r="V468" t="s">
        <v>426</v>
      </c>
      <c r="W468">
        <v>5.3457074E-2</v>
      </c>
    </row>
    <row r="469" spans="1:23" x14ac:dyDescent="0.25">
      <c r="A469" s="3" t="str">
        <f>HYPERLINK("http://ids.si.edu/ids/deliveryService?id=NMAH-2011-00219","NMAH-2011-00219")</f>
        <v>NMAH-2011-00219</v>
      </c>
      <c r="B469" s="3" t="s">
        <v>1486</v>
      </c>
      <c r="C469" s="3">
        <v>1367599</v>
      </c>
      <c r="D469" s="3" t="s">
        <v>1450</v>
      </c>
      <c r="E469" s="4" t="s">
        <v>263</v>
      </c>
      <c r="F469" t="s">
        <v>112</v>
      </c>
      <c r="G469">
        <v>0.68572378158569336</v>
      </c>
      <c r="H469" t="s">
        <v>220</v>
      </c>
      <c r="I469">
        <v>0.50960689783096313</v>
      </c>
      <c r="L469" t="s">
        <v>66</v>
      </c>
      <c r="M469">
        <v>0.33124759999999998</v>
      </c>
      <c r="N469" t="s">
        <v>65</v>
      </c>
      <c r="O469">
        <v>0.28040429999999988</v>
      </c>
      <c r="P469" t="s">
        <v>398</v>
      </c>
      <c r="Q469" s="4">
        <v>5.8116719999999997E-2</v>
      </c>
      <c r="R469" t="s">
        <v>29</v>
      </c>
      <c r="S469">
        <v>0.1003888</v>
      </c>
      <c r="T469" t="s">
        <v>66</v>
      </c>
      <c r="U469">
        <v>8.3932720000000002E-2</v>
      </c>
      <c r="V469" t="s">
        <v>426</v>
      </c>
      <c r="W469">
        <v>5.3090303999999998E-2</v>
      </c>
    </row>
    <row r="470" spans="1:23" x14ac:dyDescent="0.25">
      <c r="A470" s="3" t="str">
        <f>HYPERLINK("http://ids.si.edu/ids/deliveryService?id=NMAH-AHB2018q041465","NMAH-AHB2018q041465")</f>
        <v>NMAH-AHB2018q041465</v>
      </c>
      <c r="B470" s="3" t="s">
        <v>1487</v>
      </c>
      <c r="C470" s="3">
        <v>1098241</v>
      </c>
      <c r="D470" s="3" t="s">
        <v>1450</v>
      </c>
      <c r="E470" s="4" t="s">
        <v>309</v>
      </c>
      <c r="F470" t="s">
        <v>1461</v>
      </c>
      <c r="G470">
        <v>0.98073428869247437</v>
      </c>
      <c r="H470" t="s">
        <v>1462</v>
      </c>
      <c r="I470">
        <v>0.96375572681427002</v>
      </c>
      <c r="J470" t="s">
        <v>1463</v>
      </c>
      <c r="K470" s="4">
        <v>0.96162617206573486</v>
      </c>
      <c r="L470" t="s">
        <v>570</v>
      </c>
      <c r="M470">
        <v>0.43494674999999999</v>
      </c>
      <c r="N470" t="s">
        <v>258</v>
      </c>
      <c r="O470">
        <v>3.0851739999999999E-2</v>
      </c>
      <c r="P470" t="s">
        <v>1261</v>
      </c>
      <c r="Q470" s="4">
        <v>2.4467447999999999E-2</v>
      </c>
      <c r="R470" t="s">
        <v>369</v>
      </c>
      <c r="S470">
        <v>0.13518738999999999</v>
      </c>
      <c r="T470" t="s">
        <v>1093</v>
      </c>
      <c r="U470">
        <v>5.837929E-2</v>
      </c>
      <c r="V470" t="s">
        <v>190</v>
      </c>
      <c r="W470">
        <v>5.5122744000000001E-2</v>
      </c>
    </row>
    <row r="471" spans="1:23" x14ac:dyDescent="0.25">
      <c r="A471" s="3" t="str">
        <f>HYPERLINK("http://ids.si.edu/ids/deliveryService?id=NMAH-2011-00228","NMAH-2011-00228")</f>
        <v>NMAH-2011-00228</v>
      </c>
      <c r="B471" s="3" t="s">
        <v>1488</v>
      </c>
      <c r="C471" s="3">
        <v>1373621</v>
      </c>
      <c r="D471" s="3" t="s">
        <v>1450</v>
      </c>
      <c r="E471" s="4" t="s">
        <v>59</v>
      </c>
      <c r="F471" t="s">
        <v>1461</v>
      </c>
      <c r="G471">
        <v>0.93798214197158813</v>
      </c>
      <c r="H471" t="s">
        <v>1463</v>
      </c>
      <c r="I471">
        <v>0.91574907302856445</v>
      </c>
      <c r="J471" t="s">
        <v>1462</v>
      </c>
      <c r="K471" s="4">
        <v>0.91227227449417114</v>
      </c>
      <c r="L471" t="s">
        <v>336</v>
      </c>
      <c r="M471">
        <v>0.31584363999999998</v>
      </c>
      <c r="N471" t="s">
        <v>443</v>
      </c>
      <c r="O471">
        <v>7.6407530000000001E-2</v>
      </c>
      <c r="P471" t="s">
        <v>65</v>
      </c>
      <c r="Q471" s="4">
        <v>5.0763019999999999E-2</v>
      </c>
      <c r="R471" t="s">
        <v>426</v>
      </c>
      <c r="S471">
        <v>0.22038674</v>
      </c>
      <c r="T471" t="s">
        <v>183</v>
      </c>
      <c r="U471">
        <v>0.18828038999999999</v>
      </c>
      <c r="V471" t="s">
        <v>65</v>
      </c>
      <c r="W471">
        <v>0.14939329000000001</v>
      </c>
    </row>
    <row r="472" spans="1:23" x14ac:dyDescent="0.25">
      <c r="A472" s="3" t="str">
        <f>HYPERLINK("http://ids.si.edu/ids/deliveryService?id=NMAH-2011-00226","NMAH-2011-00226")</f>
        <v>NMAH-2011-00226</v>
      </c>
      <c r="B472" s="3" t="s">
        <v>1489</v>
      </c>
      <c r="C472" s="3">
        <v>1373619</v>
      </c>
      <c r="D472" s="3" t="s">
        <v>1450</v>
      </c>
      <c r="E472" s="4" t="s">
        <v>263</v>
      </c>
      <c r="F472" t="s">
        <v>728</v>
      </c>
      <c r="G472">
        <v>0.9251665472984314</v>
      </c>
      <c r="H472" t="s">
        <v>662</v>
      </c>
      <c r="I472">
        <v>0.92288756370544434</v>
      </c>
      <c r="J472" t="s">
        <v>1474</v>
      </c>
      <c r="K472" s="4">
        <v>0.89121556282043457</v>
      </c>
      <c r="L472" t="s">
        <v>46</v>
      </c>
      <c r="M472">
        <v>0.29851052</v>
      </c>
      <c r="N472" t="s">
        <v>65</v>
      </c>
      <c r="O472">
        <v>0.14676557000000001</v>
      </c>
      <c r="P472" t="s">
        <v>42</v>
      </c>
      <c r="Q472" s="4">
        <v>7.5584109999999996E-2</v>
      </c>
      <c r="R472" t="s">
        <v>65</v>
      </c>
      <c r="S472">
        <v>0.22641998999999999</v>
      </c>
      <c r="T472" t="s">
        <v>66</v>
      </c>
      <c r="U472">
        <v>0.127136</v>
      </c>
      <c r="V472" t="s">
        <v>678</v>
      </c>
      <c r="W472">
        <v>8.0547579999999994E-2</v>
      </c>
    </row>
    <row r="473" spans="1:23" x14ac:dyDescent="0.25">
      <c r="A473" s="3" t="str">
        <f>HYPERLINK("http://ids.si.edu/ids/deliveryService?id=NMAH-2011-00236","NMAH-2011-00236")</f>
        <v>NMAH-2011-00236</v>
      </c>
      <c r="B473" s="3" t="s">
        <v>1490</v>
      </c>
      <c r="C473" s="3">
        <v>1373642</v>
      </c>
      <c r="D473" s="3" t="s">
        <v>1450</v>
      </c>
      <c r="E473" s="4" t="s">
        <v>1481</v>
      </c>
      <c r="F473" t="s">
        <v>61</v>
      </c>
      <c r="G473">
        <v>0.88115477561950684</v>
      </c>
      <c r="H473" t="s">
        <v>220</v>
      </c>
      <c r="I473">
        <v>0.83582550287246704</v>
      </c>
      <c r="J473" t="s">
        <v>447</v>
      </c>
      <c r="K473" s="4">
        <v>0.73411321640014648</v>
      </c>
      <c r="L473" t="s">
        <v>29</v>
      </c>
      <c r="M473">
        <v>0.58133819999999992</v>
      </c>
      <c r="N473" t="s">
        <v>77</v>
      </c>
      <c r="O473">
        <v>9.8663210000000001E-2</v>
      </c>
      <c r="P473" t="s">
        <v>65</v>
      </c>
      <c r="Q473" s="4">
        <v>8.3320870000000005E-2</v>
      </c>
      <c r="R473" t="s">
        <v>29</v>
      </c>
      <c r="S473">
        <v>0.45121541999999998</v>
      </c>
      <c r="T473" t="s">
        <v>77</v>
      </c>
      <c r="U473">
        <v>0.1625875</v>
      </c>
      <c r="V473" t="s">
        <v>65</v>
      </c>
      <c r="W473">
        <v>5.4560345000000003E-2</v>
      </c>
    </row>
    <row r="474" spans="1:23" x14ac:dyDescent="0.25">
      <c r="A474" s="3" t="str">
        <f>HYPERLINK("http://ids.si.edu/ids/deliveryService?id=NMAH-2011-00243","NMAH-2011-00243")</f>
        <v>NMAH-2011-00243</v>
      </c>
      <c r="B474" s="3" t="s">
        <v>1491</v>
      </c>
      <c r="C474" s="3">
        <v>1373647</v>
      </c>
      <c r="D474" s="3" t="s">
        <v>1450</v>
      </c>
      <c r="E474" s="4" t="s">
        <v>1492</v>
      </c>
      <c r="F474" t="s">
        <v>112</v>
      </c>
      <c r="G474">
        <v>0.68572378158569336</v>
      </c>
      <c r="H474" t="s">
        <v>486</v>
      </c>
      <c r="I474">
        <v>0.64164412021636963</v>
      </c>
      <c r="L474" t="s">
        <v>129</v>
      </c>
      <c r="M474">
        <v>0.49880150000000001</v>
      </c>
      <c r="N474" t="s">
        <v>303</v>
      </c>
      <c r="O474">
        <v>0.22700737000000001</v>
      </c>
      <c r="P474" t="s">
        <v>77</v>
      </c>
      <c r="Q474" s="4">
        <v>6.7947224000000001E-2</v>
      </c>
      <c r="R474" t="s">
        <v>303</v>
      </c>
      <c r="S474">
        <v>0.67139320000000002</v>
      </c>
      <c r="T474" t="s">
        <v>129</v>
      </c>
      <c r="U474">
        <v>8.3791434999999997E-2</v>
      </c>
      <c r="V474" t="s">
        <v>66</v>
      </c>
      <c r="W474">
        <v>5.5666529999999999E-2</v>
      </c>
    </row>
    <row r="475" spans="1:23" x14ac:dyDescent="0.25">
      <c r="A475" s="3" t="str">
        <f>HYPERLINK("http://ids.si.edu/ids/deliveryService?id=NMAH-JN2016-01565","NMAH-JN2016-01565")</f>
        <v>NMAH-JN2016-01565</v>
      </c>
      <c r="B475" s="3" t="s">
        <v>1493</v>
      </c>
      <c r="C475" s="3">
        <v>1097461</v>
      </c>
      <c r="D475" s="3" t="s">
        <v>1450</v>
      </c>
      <c r="E475" s="4" t="s">
        <v>309</v>
      </c>
      <c r="F475" t="s">
        <v>1494</v>
      </c>
      <c r="G475">
        <v>0.87093460559844971</v>
      </c>
      <c r="H475" t="s">
        <v>1461</v>
      </c>
      <c r="I475">
        <v>0.86970329284667969</v>
      </c>
      <c r="J475" t="s">
        <v>1495</v>
      </c>
      <c r="K475" s="4">
        <v>0.80683368444442749</v>
      </c>
      <c r="L475" t="s">
        <v>336</v>
      </c>
      <c r="M475">
        <v>0.18565773999999999</v>
      </c>
      <c r="N475" t="s">
        <v>426</v>
      </c>
      <c r="O475">
        <v>0.16972562999999999</v>
      </c>
      <c r="P475" t="s">
        <v>337</v>
      </c>
      <c r="Q475" s="4">
        <v>0.13317828000000001</v>
      </c>
      <c r="R475" t="s">
        <v>259</v>
      </c>
      <c r="S475">
        <v>0.45884429999999998</v>
      </c>
      <c r="T475" t="s">
        <v>426</v>
      </c>
      <c r="U475">
        <v>0.18835926</v>
      </c>
      <c r="V475" t="s">
        <v>336</v>
      </c>
      <c r="W475">
        <v>0.14783740000000001</v>
      </c>
    </row>
    <row r="476" spans="1:23" x14ac:dyDescent="0.25">
      <c r="A476" s="3" t="str">
        <f>HYPERLINK("http://ids.si.edu/ids/deliveryService?id=NMAH-2011-00216-000001","NMAH-2011-00216-000001")</f>
        <v>NMAH-2011-00216-000001</v>
      </c>
      <c r="B476" s="3" t="s">
        <v>1496</v>
      </c>
      <c r="C476" s="3">
        <v>1367514</v>
      </c>
      <c r="D476" s="3" t="s">
        <v>1450</v>
      </c>
      <c r="E476" s="4" t="s">
        <v>263</v>
      </c>
      <c r="F476" t="s">
        <v>61</v>
      </c>
      <c r="G476">
        <v>0.89013081789016724</v>
      </c>
      <c r="H476" t="s">
        <v>728</v>
      </c>
      <c r="I476">
        <v>0.85761332511901855</v>
      </c>
      <c r="J476" t="s">
        <v>112</v>
      </c>
      <c r="K476" s="4">
        <v>0.78258353471755981</v>
      </c>
      <c r="L476" t="s">
        <v>66</v>
      </c>
      <c r="M476">
        <v>0.56337519999999996</v>
      </c>
      <c r="N476" t="s">
        <v>65</v>
      </c>
      <c r="O476">
        <v>0.18499289999999999</v>
      </c>
      <c r="P476" t="s">
        <v>152</v>
      </c>
      <c r="Q476" s="4">
        <v>4.5205112999999998E-2</v>
      </c>
      <c r="R476" t="s">
        <v>66</v>
      </c>
      <c r="S476">
        <v>0.55984575000000003</v>
      </c>
      <c r="T476" t="s">
        <v>65</v>
      </c>
      <c r="U476">
        <v>0.18684897</v>
      </c>
      <c r="V476" t="s">
        <v>152</v>
      </c>
      <c r="W476">
        <v>7.3770459999999996E-2</v>
      </c>
    </row>
    <row r="477" spans="1:23" x14ac:dyDescent="0.25">
      <c r="A477" s="3" t="str">
        <f>HYPERLINK("http://ids.si.edu/ids/deliveryService?id=NMAH-JN2016-02273-000001","NMAH-JN2016-02273-000001")</f>
        <v>NMAH-JN2016-02273-000001</v>
      </c>
      <c r="B477" s="3" t="s">
        <v>1497</v>
      </c>
      <c r="C477" s="3">
        <v>1803988</v>
      </c>
      <c r="D477" s="3" t="s">
        <v>1450</v>
      </c>
      <c r="E477" s="4" t="s">
        <v>1498</v>
      </c>
      <c r="F477" t="s">
        <v>1462</v>
      </c>
      <c r="G477">
        <v>0.99162966012954712</v>
      </c>
      <c r="H477" t="s">
        <v>1499</v>
      </c>
      <c r="I477">
        <v>0.98757082223892212</v>
      </c>
      <c r="J477" t="s">
        <v>1463</v>
      </c>
      <c r="K477" s="4">
        <v>0.9811704158782959</v>
      </c>
      <c r="L477" t="s">
        <v>65</v>
      </c>
      <c r="M477">
        <v>0.29360976999999999</v>
      </c>
      <c r="N477" t="s">
        <v>129</v>
      </c>
      <c r="O477">
        <v>0.18359478000000001</v>
      </c>
      <c r="P477" t="s">
        <v>460</v>
      </c>
      <c r="Q477" s="4">
        <v>7.8090709999999994E-2</v>
      </c>
      <c r="R477" t="s">
        <v>65</v>
      </c>
      <c r="S477">
        <v>0.39912742000000001</v>
      </c>
      <c r="T477" t="s">
        <v>426</v>
      </c>
      <c r="U477">
        <v>9.5928440000000004E-2</v>
      </c>
      <c r="V477" t="s">
        <v>209</v>
      </c>
      <c r="W477">
        <v>7.2911515999999996E-2</v>
      </c>
    </row>
    <row r="478" spans="1:23" x14ac:dyDescent="0.25">
      <c r="A478" s="3" t="str">
        <f>HYPERLINK("http://ids.si.edu/ids/deliveryService?id=NMAH-2011-00214-000001","NMAH-2011-00214-000001")</f>
        <v>NMAH-2011-00214-000001</v>
      </c>
      <c r="B478" s="3" t="s">
        <v>1500</v>
      </c>
      <c r="C478" s="3">
        <v>1367505</v>
      </c>
      <c r="D478" s="3" t="s">
        <v>1450</v>
      </c>
      <c r="E478" s="4" t="s">
        <v>263</v>
      </c>
      <c r="F478" t="s">
        <v>61</v>
      </c>
      <c r="G478">
        <v>0.90306717157363892</v>
      </c>
      <c r="H478" t="s">
        <v>112</v>
      </c>
      <c r="I478">
        <v>0.74956268072128296</v>
      </c>
      <c r="J478" t="s">
        <v>301</v>
      </c>
      <c r="K478" s="4">
        <v>0.59727400541305542</v>
      </c>
      <c r="L478" t="s">
        <v>65</v>
      </c>
      <c r="M478">
        <v>0.52957909999999997</v>
      </c>
      <c r="N478" t="s">
        <v>66</v>
      </c>
      <c r="O478">
        <v>9.6375849999999999E-2</v>
      </c>
      <c r="P478" t="s">
        <v>1501</v>
      </c>
      <c r="Q478" s="4">
        <v>5.5992420000000001E-2</v>
      </c>
      <c r="R478" t="s">
        <v>305</v>
      </c>
      <c r="S478">
        <v>0.23885743000000001</v>
      </c>
      <c r="T478" t="s">
        <v>66</v>
      </c>
      <c r="U478">
        <v>0.17342630000000001</v>
      </c>
      <c r="V478" t="s">
        <v>426</v>
      </c>
      <c r="W478">
        <v>0.14103857</v>
      </c>
    </row>
    <row r="479" spans="1:23" x14ac:dyDescent="0.25">
      <c r="A479" s="3" t="str">
        <f>HYPERLINK("http://ids.si.edu/ids/deliveryService?id=NMAH-2011-00221-000001","NMAH-2011-00221-000001")</f>
        <v>NMAH-2011-00221-000001</v>
      </c>
      <c r="B479" s="3" t="s">
        <v>1502</v>
      </c>
      <c r="C479" s="3">
        <v>1367783</v>
      </c>
      <c r="D479" s="3" t="s">
        <v>1450</v>
      </c>
      <c r="E479" s="4" t="s">
        <v>263</v>
      </c>
      <c r="F479" t="s">
        <v>112</v>
      </c>
      <c r="G479">
        <v>0.78258353471755981</v>
      </c>
      <c r="H479" t="s">
        <v>728</v>
      </c>
      <c r="I479">
        <v>0.63150870800018311</v>
      </c>
      <c r="J479" t="s">
        <v>1472</v>
      </c>
      <c r="K479" s="4">
        <v>0.63131946325302124</v>
      </c>
      <c r="L479" t="s">
        <v>65</v>
      </c>
      <c r="M479">
        <v>0.42993452999999998</v>
      </c>
      <c r="N479" t="s">
        <v>66</v>
      </c>
      <c r="O479">
        <v>0.18597187000000001</v>
      </c>
      <c r="P479" t="s">
        <v>152</v>
      </c>
      <c r="Q479" s="4">
        <v>8.4524800000000011E-2</v>
      </c>
      <c r="R479" t="s">
        <v>426</v>
      </c>
      <c r="S479">
        <v>0.19277422</v>
      </c>
      <c r="T479" t="s">
        <v>65</v>
      </c>
      <c r="U479">
        <v>0.10378153</v>
      </c>
      <c r="V479" t="s">
        <v>66</v>
      </c>
      <c r="W479">
        <v>9.2378199999999994E-2</v>
      </c>
    </row>
    <row r="480" spans="1:23" x14ac:dyDescent="0.25">
      <c r="A480" s="3" t="str">
        <f>HYPERLINK("http://ids.si.edu/ids/deliveryService?id=NMAH-JN2016-01091","NMAH-JN2016-01091")</f>
        <v>NMAH-JN2016-01091</v>
      </c>
      <c r="B480" s="3" t="s">
        <v>1503</v>
      </c>
      <c r="C480" s="3">
        <v>946576</v>
      </c>
      <c r="D480" s="3" t="s">
        <v>1450</v>
      </c>
      <c r="E480" s="4" t="s">
        <v>1451</v>
      </c>
      <c r="F480" t="s">
        <v>1461</v>
      </c>
      <c r="G480">
        <v>0.89045602083206177</v>
      </c>
      <c r="H480" t="s">
        <v>1462</v>
      </c>
      <c r="I480">
        <v>0.8864559531211853</v>
      </c>
      <c r="J480" t="s">
        <v>1463</v>
      </c>
      <c r="K480" s="4">
        <v>0.83093589544296265</v>
      </c>
      <c r="L480" t="s">
        <v>259</v>
      </c>
      <c r="M480">
        <v>0.32156232000000001</v>
      </c>
      <c r="N480" t="s">
        <v>426</v>
      </c>
      <c r="O480">
        <v>0.13649881999999999</v>
      </c>
      <c r="P480" t="s">
        <v>336</v>
      </c>
      <c r="Q480" s="4">
        <v>0.111159496</v>
      </c>
      <c r="R480" t="s">
        <v>259</v>
      </c>
      <c r="S480">
        <v>0.82699409999999984</v>
      </c>
      <c r="T480" t="s">
        <v>426</v>
      </c>
      <c r="U480">
        <v>3.6299909999999998E-2</v>
      </c>
      <c r="V480" t="s">
        <v>523</v>
      </c>
      <c r="W480">
        <v>1.8498094999999999E-2</v>
      </c>
    </row>
    <row r="481" spans="1:23" x14ac:dyDescent="0.25">
      <c r="A481" s="3" t="str">
        <f>HYPERLINK("http://ids.si.edu/ids/deliveryService?id=NMAH-2011-00237","NMAH-2011-00237")</f>
        <v>NMAH-2011-00237</v>
      </c>
      <c r="B481" s="3" t="s">
        <v>1504</v>
      </c>
      <c r="C481" s="3">
        <v>1373643</v>
      </c>
      <c r="D481" s="3" t="s">
        <v>1450</v>
      </c>
      <c r="E481" s="4" t="s">
        <v>1481</v>
      </c>
      <c r="F481" t="s">
        <v>1505</v>
      </c>
      <c r="G481">
        <v>0.93157881498336792</v>
      </c>
      <c r="H481" t="s">
        <v>1482</v>
      </c>
      <c r="I481">
        <v>0.93095576763153076</v>
      </c>
      <c r="J481" t="s">
        <v>61</v>
      </c>
      <c r="K481" s="4">
        <v>0.92668932676315308</v>
      </c>
      <c r="L481" t="s">
        <v>77</v>
      </c>
      <c r="M481">
        <v>5.7544169999999999E-2</v>
      </c>
      <c r="N481" t="s">
        <v>129</v>
      </c>
      <c r="O481">
        <v>5.4849944999999997E-2</v>
      </c>
      <c r="P481" t="s">
        <v>398</v>
      </c>
      <c r="Q481" s="4">
        <v>5.1615994000000012E-2</v>
      </c>
      <c r="R481" t="s">
        <v>29</v>
      </c>
      <c r="S481">
        <v>0.15231815000000001</v>
      </c>
      <c r="T481" t="s">
        <v>77</v>
      </c>
      <c r="U481">
        <v>0.11399793</v>
      </c>
      <c r="V481" t="s">
        <v>398</v>
      </c>
      <c r="W481">
        <v>6.3142760000000006E-2</v>
      </c>
    </row>
    <row r="482" spans="1:23" x14ac:dyDescent="0.25">
      <c r="A482" s="3" t="str">
        <f>HYPERLINK("http://ids.si.edu/ids/deliveryService?id=NMAH-2011-00238","NMAH-2011-00238")</f>
        <v>NMAH-2011-00238</v>
      </c>
      <c r="B482" s="3" t="s">
        <v>1506</v>
      </c>
      <c r="C482" s="3">
        <v>1373644</v>
      </c>
      <c r="D482" s="3" t="s">
        <v>1450</v>
      </c>
      <c r="E482" s="4" t="s">
        <v>1481</v>
      </c>
      <c r="F482" t="s">
        <v>1482</v>
      </c>
      <c r="G482">
        <v>0.88627165555953979</v>
      </c>
      <c r="H482" t="s">
        <v>220</v>
      </c>
      <c r="I482">
        <v>0.8591119647026062</v>
      </c>
      <c r="J482" t="s">
        <v>1505</v>
      </c>
      <c r="K482" s="4">
        <v>0.8371087908744812</v>
      </c>
      <c r="L482" t="s">
        <v>29</v>
      </c>
      <c r="M482">
        <v>0.45082682000000002</v>
      </c>
      <c r="N482" t="s">
        <v>77</v>
      </c>
      <c r="O482">
        <v>0.10738034</v>
      </c>
      <c r="P482" t="s">
        <v>129</v>
      </c>
      <c r="Q482" s="4">
        <v>0.106567</v>
      </c>
      <c r="R482" t="s">
        <v>77</v>
      </c>
      <c r="S482">
        <v>0.46335399999999999</v>
      </c>
      <c r="T482" t="s">
        <v>529</v>
      </c>
      <c r="U482">
        <v>0.12198215</v>
      </c>
      <c r="V482" t="s">
        <v>460</v>
      </c>
      <c r="W482">
        <v>0.111593574</v>
      </c>
    </row>
    <row r="483" spans="1:23" x14ac:dyDescent="0.25">
      <c r="A483" s="3" t="str">
        <f>HYPERLINK("http://ids.si.edu/ids/deliveryService?id=NMAH-JN2015-7710-000001","NMAH-JN2015-7710-000001")</f>
        <v>NMAH-JN2015-7710-000001</v>
      </c>
      <c r="B483" s="3" t="s">
        <v>1507</v>
      </c>
      <c r="C483" s="3">
        <v>694891</v>
      </c>
      <c r="D483" s="3" t="s">
        <v>1450</v>
      </c>
      <c r="E483" s="4" t="s">
        <v>309</v>
      </c>
      <c r="F483" t="s">
        <v>1461</v>
      </c>
      <c r="G483">
        <v>0.9507371187210083</v>
      </c>
      <c r="H483" t="s">
        <v>1462</v>
      </c>
      <c r="I483">
        <v>0.9238848090171814</v>
      </c>
      <c r="J483" t="s">
        <v>1463</v>
      </c>
      <c r="K483" s="4">
        <v>0.87157440185546875</v>
      </c>
      <c r="L483" t="s">
        <v>72</v>
      </c>
      <c r="M483">
        <v>0.2161931</v>
      </c>
      <c r="N483" t="s">
        <v>334</v>
      </c>
      <c r="O483">
        <v>5.8389954000000001E-2</v>
      </c>
      <c r="P483" t="s">
        <v>305</v>
      </c>
      <c r="Q483" s="4">
        <v>4.8444565000000002E-2</v>
      </c>
      <c r="R483" t="s">
        <v>305</v>
      </c>
      <c r="S483">
        <v>8.3759340000000002E-2</v>
      </c>
      <c r="T483" t="s">
        <v>259</v>
      </c>
      <c r="U483">
        <v>6.5007490000000001E-2</v>
      </c>
      <c r="V483" t="s">
        <v>261</v>
      </c>
      <c r="W483">
        <v>6.2573130000000005E-2</v>
      </c>
    </row>
    <row r="484" spans="1:23" x14ac:dyDescent="0.25">
      <c r="A484" s="3" t="str">
        <f>HYPERLINK("http://ids.si.edu/ids/deliveryService?id=NMAH-JN2016-01090","NMAH-JN2016-01090")</f>
        <v>NMAH-JN2016-01090</v>
      </c>
      <c r="B484" s="3" t="s">
        <v>1508</v>
      </c>
      <c r="C484" s="3">
        <v>1808142</v>
      </c>
      <c r="D484" s="3" t="s">
        <v>1450</v>
      </c>
      <c r="E484" s="4" t="s">
        <v>1451</v>
      </c>
      <c r="F484" t="s">
        <v>1461</v>
      </c>
      <c r="G484">
        <v>0.9400862455368042</v>
      </c>
      <c r="H484" t="s">
        <v>1463</v>
      </c>
      <c r="I484">
        <v>0.85765159130096436</v>
      </c>
      <c r="J484" t="s">
        <v>50</v>
      </c>
      <c r="K484" s="4">
        <v>0.84106016159057617</v>
      </c>
      <c r="L484" t="s">
        <v>336</v>
      </c>
      <c r="M484">
        <v>0.12205149</v>
      </c>
      <c r="N484" t="s">
        <v>259</v>
      </c>
      <c r="O484">
        <v>9.5436430000000003E-2</v>
      </c>
      <c r="P484" t="s">
        <v>426</v>
      </c>
      <c r="Q484" s="4">
        <v>7.7025350000000006E-2</v>
      </c>
      <c r="R484" t="s">
        <v>259</v>
      </c>
      <c r="S484">
        <v>0.35953239999999997</v>
      </c>
      <c r="T484" t="s">
        <v>336</v>
      </c>
      <c r="U484">
        <v>0.30283169999999998</v>
      </c>
      <c r="V484" t="s">
        <v>426</v>
      </c>
      <c r="W484">
        <v>7.3541306000000001E-2</v>
      </c>
    </row>
    <row r="485" spans="1:23" x14ac:dyDescent="0.25">
      <c r="A485" s="3" t="str">
        <f>HYPERLINK("http://ids.si.edu/ids/deliveryService?id=NMAH-2011-00227","NMAH-2011-00227")</f>
        <v>NMAH-2011-00227</v>
      </c>
      <c r="B485" s="3" t="s">
        <v>1509</v>
      </c>
      <c r="C485" s="3">
        <v>1373620</v>
      </c>
      <c r="D485" s="3" t="s">
        <v>1450</v>
      </c>
      <c r="E485" s="4" t="s">
        <v>59</v>
      </c>
      <c r="F485" t="s">
        <v>1469</v>
      </c>
      <c r="G485">
        <v>0.83071392774581909</v>
      </c>
      <c r="H485" t="s">
        <v>525</v>
      </c>
      <c r="I485">
        <v>0.76325845718383789</v>
      </c>
      <c r="J485" t="s">
        <v>62</v>
      </c>
      <c r="K485" s="4">
        <v>0.70886510610580444</v>
      </c>
      <c r="L485" t="s">
        <v>65</v>
      </c>
      <c r="M485">
        <v>0.18356430000000001</v>
      </c>
      <c r="N485" t="s">
        <v>336</v>
      </c>
      <c r="O485">
        <v>0.12469147</v>
      </c>
      <c r="P485" t="s">
        <v>426</v>
      </c>
      <c r="Q485" s="4">
        <v>0.11801331</v>
      </c>
      <c r="R485" t="s">
        <v>65</v>
      </c>
      <c r="S485">
        <v>0.33241183000000002</v>
      </c>
      <c r="T485" t="s">
        <v>426</v>
      </c>
      <c r="U485">
        <v>0.29951337</v>
      </c>
      <c r="V485" t="s">
        <v>29</v>
      </c>
      <c r="W485">
        <v>5.8507440000000001E-2</v>
      </c>
    </row>
    <row r="486" spans="1:23" x14ac:dyDescent="0.25">
      <c r="A486" s="3" t="str">
        <f>HYPERLINK("http://ids.si.edu/ids/deliveryService?id=NMAH-JN2015-5276","NMAH-JN2015-5276")</f>
        <v>NMAH-JN2015-5276</v>
      </c>
      <c r="B486" s="3" t="s">
        <v>1510</v>
      </c>
      <c r="C486" s="3">
        <v>947171</v>
      </c>
      <c r="D486" s="3" t="s">
        <v>1450</v>
      </c>
      <c r="E486" s="4" t="s">
        <v>1451</v>
      </c>
      <c r="F486" t="s">
        <v>1461</v>
      </c>
      <c r="G486">
        <v>0.8821868896484375</v>
      </c>
      <c r="H486" t="s">
        <v>662</v>
      </c>
      <c r="I486">
        <v>0.8762359619140625</v>
      </c>
      <c r="J486" t="s">
        <v>1462</v>
      </c>
      <c r="K486" s="4">
        <v>0.79382985830307007</v>
      </c>
      <c r="L486" t="s">
        <v>450</v>
      </c>
      <c r="M486">
        <v>0.1705952</v>
      </c>
      <c r="N486" t="s">
        <v>523</v>
      </c>
      <c r="O486">
        <v>0.11262639000000001</v>
      </c>
      <c r="P486" t="s">
        <v>71</v>
      </c>
      <c r="Q486" s="4">
        <v>8.2520685999999996E-2</v>
      </c>
      <c r="R486" t="s">
        <v>523</v>
      </c>
      <c r="S486">
        <v>0.40003282000000001</v>
      </c>
      <c r="T486" t="s">
        <v>71</v>
      </c>
      <c r="U486">
        <v>0.28361459999999999</v>
      </c>
      <c r="V486" t="s">
        <v>784</v>
      </c>
      <c r="W486">
        <v>4.4121649999999998E-2</v>
      </c>
    </row>
    <row r="487" spans="1:23" x14ac:dyDescent="0.25">
      <c r="A487" s="3" t="str">
        <f>HYPERLINK("http://ids.si.edu/ids/deliveryService?id=NMAH-RWS2014-02465","NMAH-RWS2014-02465")</f>
        <v>NMAH-RWS2014-02465</v>
      </c>
      <c r="B487" s="3" t="s">
        <v>1511</v>
      </c>
      <c r="C487" s="3">
        <v>1141866</v>
      </c>
      <c r="D487" s="3" t="s">
        <v>1512</v>
      </c>
      <c r="E487" s="4" t="s">
        <v>125</v>
      </c>
      <c r="F487" t="s">
        <v>61</v>
      </c>
      <c r="G487">
        <v>0.95461958646774292</v>
      </c>
      <c r="H487" t="s">
        <v>112</v>
      </c>
      <c r="I487">
        <v>0.95231562852859497</v>
      </c>
      <c r="J487" t="s">
        <v>1513</v>
      </c>
      <c r="K487" s="4">
        <v>0.75748723745346069</v>
      </c>
      <c r="L487" t="s">
        <v>1238</v>
      </c>
      <c r="M487">
        <v>0.12538028000000001</v>
      </c>
      <c r="N487" t="s">
        <v>209</v>
      </c>
      <c r="O487">
        <v>0.123872764</v>
      </c>
      <c r="P487" t="s">
        <v>31</v>
      </c>
      <c r="Q487" s="4">
        <v>7.4058614999999994E-2</v>
      </c>
      <c r="R487" t="s">
        <v>405</v>
      </c>
      <c r="S487">
        <v>0.15825388000000001</v>
      </c>
      <c r="T487" t="s">
        <v>65</v>
      </c>
      <c r="U487">
        <v>9.3536060000000004E-2</v>
      </c>
      <c r="V487" t="s">
        <v>1514</v>
      </c>
      <c r="W487">
        <v>2.6146589000000001E-2</v>
      </c>
    </row>
    <row r="488" spans="1:23" x14ac:dyDescent="0.25">
      <c r="A488" s="3" t="str">
        <f>HYPERLINK("http://ids.si.edu/ids/deliveryService?id=NMAH-RWS2012-04347","NMAH-RWS2012-04347")</f>
        <v>NMAH-RWS2012-04347</v>
      </c>
      <c r="B488" s="3" t="s">
        <v>1515</v>
      </c>
      <c r="C488" s="3">
        <v>532112</v>
      </c>
      <c r="D488" s="3" t="s">
        <v>1512</v>
      </c>
      <c r="E488" s="4" t="s">
        <v>1516</v>
      </c>
      <c r="F488" t="s">
        <v>256</v>
      </c>
      <c r="G488">
        <v>0.71957969665527344</v>
      </c>
      <c r="H488" t="s">
        <v>1517</v>
      </c>
      <c r="I488">
        <v>0.65622711181640625</v>
      </c>
      <c r="J488" t="s">
        <v>236</v>
      </c>
      <c r="K488" s="4">
        <v>0.54227489233016968</v>
      </c>
      <c r="L488" t="s">
        <v>184</v>
      </c>
      <c r="M488">
        <v>0.86901830000000013</v>
      </c>
      <c r="N488" t="s">
        <v>152</v>
      </c>
      <c r="O488">
        <v>3.4531294999999997E-2</v>
      </c>
      <c r="P488" t="s">
        <v>398</v>
      </c>
      <c r="Q488" s="4">
        <v>2.6511206999999998E-2</v>
      </c>
      <c r="R488" t="s">
        <v>185</v>
      </c>
      <c r="S488">
        <v>0.2223803</v>
      </c>
      <c r="T488" t="s">
        <v>152</v>
      </c>
      <c r="U488">
        <v>0.16285804000000001</v>
      </c>
      <c r="V488" t="s">
        <v>184</v>
      </c>
      <c r="W488">
        <v>0.14666863999999999</v>
      </c>
    </row>
    <row r="489" spans="1:23" x14ac:dyDescent="0.25">
      <c r="A489" s="3" t="str">
        <f>HYPERLINK("http://ids.si.edu/ids/deliveryService?id=NMAH-ET2016-12177","NMAH-ET2016-12177")</f>
        <v>NMAH-ET2016-12177</v>
      </c>
      <c r="B489" s="3" t="s">
        <v>1518</v>
      </c>
      <c r="C489" s="3">
        <v>491874</v>
      </c>
      <c r="D489" s="3" t="s">
        <v>1512</v>
      </c>
      <c r="E489" s="4" t="s">
        <v>1519</v>
      </c>
      <c r="F489" t="s">
        <v>292</v>
      </c>
      <c r="G489">
        <v>0.93122196197509766</v>
      </c>
      <c r="H489" t="s">
        <v>91</v>
      </c>
      <c r="I489">
        <v>0.88283330202102661</v>
      </c>
      <c r="L489" t="s">
        <v>689</v>
      </c>
      <c r="M489">
        <v>0.86995889999999998</v>
      </c>
      <c r="N489" t="s">
        <v>984</v>
      </c>
      <c r="O489">
        <v>2.4845365000000001E-2</v>
      </c>
      <c r="P489" t="s">
        <v>93</v>
      </c>
      <c r="Q489" s="4">
        <v>2.3093961E-2</v>
      </c>
      <c r="R489" t="s">
        <v>1238</v>
      </c>
      <c r="S489">
        <v>0.13116149999999999</v>
      </c>
      <c r="T489" t="s">
        <v>363</v>
      </c>
      <c r="U489">
        <v>0.11362822</v>
      </c>
      <c r="V489" t="s">
        <v>334</v>
      </c>
      <c r="W489">
        <v>0.10565165999999999</v>
      </c>
    </row>
    <row r="490" spans="1:23" x14ac:dyDescent="0.25">
      <c r="A490" s="3" t="str">
        <f>HYPERLINK("http://ids.si.edu/ids/deliveryService?id=NMAH-AHB2016q013041","NMAH-AHB2016q013041")</f>
        <v>NMAH-AHB2016q013041</v>
      </c>
      <c r="B490" s="3" t="s">
        <v>1520</v>
      </c>
      <c r="C490" s="3">
        <v>875601</v>
      </c>
      <c r="D490" s="3" t="s">
        <v>1512</v>
      </c>
      <c r="E490" s="4" t="s">
        <v>540</v>
      </c>
      <c r="F490" t="s">
        <v>519</v>
      </c>
      <c r="G490">
        <v>0.88889008760452271</v>
      </c>
      <c r="H490" t="s">
        <v>311</v>
      </c>
      <c r="I490">
        <v>0.57658189535140991</v>
      </c>
      <c r="J490" t="s">
        <v>62</v>
      </c>
      <c r="K490" s="4">
        <v>0.50218719244003296</v>
      </c>
      <c r="L490" t="s">
        <v>29</v>
      </c>
      <c r="M490">
        <v>0.70377946000000002</v>
      </c>
      <c r="N490" t="s">
        <v>129</v>
      </c>
      <c r="O490">
        <v>0.11742819</v>
      </c>
      <c r="P490" t="s">
        <v>731</v>
      </c>
      <c r="Q490" s="4">
        <v>6.7306580000000005E-2</v>
      </c>
      <c r="R490" t="s">
        <v>29</v>
      </c>
      <c r="S490">
        <v>0.36105999999999999</v>
      </c>
      <c r="T490" t="s">
        <v>129</v>
      </c>
      <c r="U490">
        <v>0.25916003999999998</v>
      </c>
      <c r="V490" t="s">
        <v>66</v>
      </c>
      <c r="W490">
        <v>0.22528480000000001</v>
      </c>
    </row>
    <row r="491" spans="1:23" x14ac:dyDescent="0.25">
      <c r="A491" s="3" t="str">
        <f>HYPERLINK("http://ids.si.edu/ids/deliveryService?id=NMAH-ET2015-07912","NMAH-ET2015-07912")</f>
        <v>NMAH-ET2015-07912</v>
      </c>
      <c r="B491" s="3" t="s">
        <v>1523</v>
      </c>
      <c r="C491" s="3">
        <v>529666</v>
      </c>
      <c r="D491" s="3" t="s">
        <v>1512</v>
      </c>
      <c r="E491" s="4" t="s">
        <v>1524</v>
      </c>
      <c r="F491" t="s">
        <v>101</v>
      </c>
      <c r="G491">
        <v>0.99083328247070313</v>
      </c>
      <c r="H491" t="s">
        <v>1525</v>
      </c>
      <c r="I491">
        <v>0.98721045255661011</v>
      </c>
      <c r="J491" t="s">
        <v>736</v>
      </c>
      <c r="K491" s="4">
        <v>0.9628557562828064</v>
      </c>
      <c r="L491" t="s">
        <v>108</v>
      </c>
      <c r="M491">
        <v>0.2359279</v>
      </c>
      <c r="N491" t="s">
        <v>134</v>
      </c>
      <c r="O491">
        <v>0.14051930000000001</v>
      </c>
      <c r="P491" t="s">
        <v>1526</v>
      </c>
      <c r="Q491" s="4">
        <v>4.4725199999999993E-2</v>
      </c>
      <c r="R491" t="s">
        <v>134</v>
      </c>
      <c r="S491">
        <v>0.74009499999999995</v>
      </c>
      <c r="T491" t="s">
        <v>108</v>
      </c>
      <c r="U491">
        <v>9.2428590000000005E-2</v>
      </c>
      <c r="V491" t="s">
        <v>584</v>
      </c>
      <c r="W491">
        <v>1.7384904E-2</v>
      </c>
    </row>
    <row r="492" spans="1:23" x14ac:dyDescent="0.25">
      <c r="A492" s="3" t="str">
        <f>HYPERLINK("http://ids.si.edu/ids/deliveryService?id=NMAH-ET2016-12132","NMAH-ET2016-12132")</f>
        <v>NMAH-ET2016-12132</v>
      </c>
      <c r="B492" s="3" t="s">
        <v>1527</v>
      </c>
      <c r="C492" s="3">
        <v>531602</v>
      </c>
      <c r="D492" s="3" t="s">
        <v>1512</v>
      </c>
      <c r="E492" s="4" t="s">
        <v>125</v>
      </c>
      <c r="F492" t="s">
        <v>1124</v>
      </c>
      <c r="G492">
        <v>0.90401279926300049</v>
      </c>
      <c r="H492" t="s">
        <v>1528</v>
      </c>
      <c r="I492">
        <v>0.74477821588516235</v>
      </c>
      <c r="J492" t="s">
        <v>1529</v>
      </c>
      <c r="K492" s="4">
        <v>0.70882481336593628</v>
      </c>
      <c r="L492" t="s">
        <v>623</v>
      </c>
      <c r="M492">
        <v>0.10236724</v>
      </c>
      <c r="N492" t="s">
        <v>29</v>
      </c>
      <c r="O492">
        <v>9.8048060000000006E-2</v>
      </c>
      <c r="P492" t="s">
        <v>209</v>
      </c>
      <c r="Q492" s="4">
        <v>7.6338459999999997E-2</v>
      </c>
      <c r="R492" t="s">
        <v>253</v>
      </c>
      <c r="S492">
        <v>0.10886632</v>
      </c>
      <c r="T492" t="s">
        <v>29</v>
      </c>
      <c r="U492">
        <v>8.0153349999999998E-2</v>
      </c>
      <c r="V492" t="s">
        <v>66</v>
      </c>
      <c r="W492">
        <v>7.0295739999999995E-2</v>
      </c>
    </row>
    <row r="493" spans="1:23" x14ac:dyDescent="0.25">
      <c r="A493" s="3" t="str">
        <f>HYPERLINK("http://ids.si.edu/ids/deliveryService?id=NMAH-AHB2014q013114-000001","NMAH-AHB2014q013114-000001")</f>
        <v>NMAH-AHB2014q013114-000001</v>
      </c>
      <c r="B493" s="3" t="s">
        <v>1530</v>
      </c>
      <c r="C493" s="3">
        <v>1053595</v>
      </c>
      <c r="D493" s="3" t="s">
        <v>1512</v>
      </c>
      <c r="E493" s="4" t="s">
        <v>1531</v>
      </c>
      <c r="F493" t="s">
        <v>126</v>
      </c>
      <c r="G493">
        <v>0.89034295082092285</v>
      </c>
      <c r="H493" t="s">
        <v>741</v>
      </c>
      <c r="I493">
        <v>0.65730535984039307</v>
      </c>
      <c r="L493" t="s">
        <v>29</v>
      </c>
      <c r="M493">
        <v>0.68657619999999997</v>
      </c>
      <c r="N493" t="s">
        <v>253</v>
      </c>
      <c r="O493">
        <v>8.0947489999999997E-2</v>
      </c>
      <c r="P493" t="s">
        <v>65</v>
      </c>
      <c r="Q493" s="4">
        <v>6.0570634999999998E-2</v>
      </c>
      <c r="R493" t="s">
        <v>66</v>
      </c>
      <c r="S493">
        <v>0.36983242999999999</v>
      </c>
      <c r="T493" t="s">
        <v>253</v>
      </c>
      <c r="U493">
        <v>0.20036804999999999</v>
      </c>
      <c r="V493" t="s">
        <v>29</v>
      </c>
      <c r="W493">
        <v>9.0861015000000003E-2</v>
      </c>
    </row>
    <row r="494" spans="1:23" x14ac:dyDescent="0.25">
      <c r="A494" s="3" t="str">
        <f>HYPERLINK("http://ids.si.edu/ids/deliveryService?id=NMAH-ET2016-09139","NMAH-ET2016-09139")</f>
        <v>NMAH-ET2016-09139</v>
      </c>
      <c r="B494" s="3" t="s">
        <v>1532</v>
      </c>
      <c r="C494" s="3">
        <v>1318909</v>
      </c>
      <c r="D494" s="3" t="s">
        <v>1512</v>
      </c>
      <c r="E494" s="4" t="s">
        <v>125</v>
      </c>
      <c r="F494" t="s">
        <v>1525</v>
      </c>
      <c r="G494">
        <v>0.97079694271087646</v>
      </c>
      <c r="H494" t="s">
        <v>101</v>
      </c>
      <c r="I494">
        <v>0.93679088354110718</v>
      </c>
      <c r="J494" t="s">
        <v>91</v>
      </c>
      <c r="K494" s="4">
        <v>0.88283330202102661</v>
      </c>
      <c r="L494" t="s">
        <v>134</v>
      </c>
      <c r="M494">
        <v>0.50248075000000003</v>
      </c>
      <c r="N494" t="s">
        <v>29</v>
      </c>
      <c r="O494">
        <v>0.19398925</v>
      </c>
      <c r="P494" t="s">
        <v>584</v>
      </c>
      <c r="Q494" s="4">
        <v>0.11307084000000001</v>
      </c>
      <c r="R494" t="s">
        <v>584</v>
      </c>
      <c r="S494">
        <v>0.3431072</v>
      </c>
      <c r="T494" t="s">
        <v>134</v>
      </c>
      <c r="U494">
        <v>0.1724174</v>
      </c>
      <c r="V494" t="s">
        <v>108</v>
      </c>
      <c r="W494">
        <v>0.13421108000000001</v>
      </c>
    </row>
    <row r="495" spans="1:23" x14ac:dyDescent="0.25">
      <c r="A495" s="3" t="str">
        <f>HYPERLINK("http://ids.si.edu/ids/deliveryService?id=NMAH-RWS2012-04275-000002","NMAH-RWS2012-04275-000002")</f>
        <v>NMAH-RWS2012-04275-000002</v>
      </c>
      <c r="B495" s="3" t="s">
        <v>1533</v>
      </c>
      <c r="C495" s="3">
        <v>528644</v>
      </c>
      <c r="D495" s="3" t="s">
        <v>1512</v>
      </c>
      <c r="E495" s="4" t="s">
        <v>1534</v>
      </c>
      <c r="F495" t="s">
        <v>1210</v>
      </c>
      <c r="G495">
        <v>0.77418977022171021</v>
      </c>
      <c r="H495" t="s">
        <v>281</v>
      </c>
      <c r="I495">
        <v>0.64405941963195801</v>
      </c>
      <c r="J495" t="s">
        <v>1535</v>
      </c>
      <c r="K495" s="4">
        <v>0.64161241054534912</v>
      </c>
      <c r="L495" t="s">
        <v>673</v>
      </c>
      <c r="M495">
        <v>0.15344906</v>
      </c>
      <c r="N495" t="s">
        <v>93</v>
      </c>
      <c r="O495">
        <v>6.7431584000000003E-2</v>
      </c>
      <c r="P495" t="s">
        <v>357</v>
      </c>
      <c r="Q495" s="4">
        <v>5.5704429999999999E-2</v>
      </c>
      <c r="R495" t="s">
        <v>93</v>
      </c>
      <c r="S495">
        <v>0.116628855</v>
      </c>
      <c r="T495" t="s">
        <v>1522</v>
      </c>
      <c r="U495">
        <v>8.726043E-2</v>
      </c>
      <c r="V495" t="s">
        <v>348</v>
      </c>
      <c r="W495">
        <v>3.5671429999999997E-2</v>
      </c>
    </row>
    <row r="496" spans="1:23" x14ac:dyDescent="0.25">
      <c r="A496" s="3" t="str">
        <f>HYPERLINK("http://ids.si.edu/ids/deliveryService?id=NMAH-RWS2014-02435","NMAH-RWS2014-02435")</f>
        <v>NMAH-RWS2014-02435</v>
      </c>
      <c r="B496" s="3" t="s">
        <v>1536</v>
      </c>
      <c r="C496" s="3">
        <v>1461248</v>
      </c>
      <c r="D496" s="3" t="s">
        <v>1512</v>
      </c>
      <c r="E496" s="4" t="s">
        <v>125</v>
      </c>
      <c r="F496" t="s">
        <v>112</v>
      </c>
      <c r="G496">
        <v>0.97127199172973633</v>
      </c>
      <c r="H496" t="s">
        <v>61</v>
      </c>
      <c r="I496">
        <v>0.95408415794372559</v>
      </c>
      <c r="J496" t="s">
        <v>1083</v>
      </c>
      <c r="K496" s="4">
        <v>0.92150610685348511</v>
      </c>
      <c r="L496" t="s">
        <v>782</v>
      </c>
      <c r="M496">
        <v>0.8711508</v>
      </c>
      <c r="N496" t="s">
        <v>65</v>
      </c>
      <c r="O496">
        <v>8.8015919999999997E-2</v>
      </c>
      <c r="P496" t="s">
        <v>253</v>
      </c>
      <c r="Q496" s="4">
        <v>1.1239991499999999E-2</v>
      </c>
      <c r="R496" t="s">
        <v>253</v>
      </c>
      <c r="S496">
        <v>0.58799820000000003</v>
      </c>
      <c r="T496" t="s">
        <v>65</v>
      </c>
      <c r="U496">
        <v>9.9074449999999994E-2</v>
      </c>
      <c r="V496" t="s">
        <v>782</v>
      </c>
      <c r="W496">
        <v>7.5000020000000001E-2</v>
      </c>
    </row>
    <row r="497" spans="1:23" x14ac:dyDescent="0.25">
      <c r="A497" s="3" t="str">
        <f>HYPERLINK("http://ids.si.edu/ids/deliveryService?id=NMAH-AHB2017q021033","NMAH-AHB2017q021033")</f>
        <v>NMAH-AHB2017q021033</v>
      </c>
      <c r="B497" s="3" t="s">
        <v>1537</v>
      </c>
      <c r="C497" s="3">
        <v>1051393</v>
      </c>
      <c r="D497" s="3" t="s">
        <v>1512</v>
      </c>
      <c r="E497" s="4" t="s">
        <v>842</v>
      </c>
      <c r="F497" t="s">
        <v>196</v>
      </c>
      <c r="G497">
        <v>0.80717724561691284</v>
      </c>
      <c r="H497" t="s">
        <v>195</v>
      </c>
      <c r="I497">
        <v>0.65811675786972046</v>
      </c>
      <c r="J497" t="s">
        <v>1538</v>
      </c>
      <c r="K497" s="4">
        <v>0.51281493902206421</v>
      </c>
      <c r="L497" t="s">
        <v>847</v>
      </c>
      <c r="M497">
        <v>0.43477452</v>
      </c>
      <c r="N497" t="s">
        <v>303</v>
      </c>
      <c r="O497">
        <v>0.10311251</v>
      </c>
      <c r="P497" t="s">
        <v>570</v>
      </c>
      <c r="Q497" s="4">
        <v>4.9114294000000003E-2</v>
      </c>
      <c r="R497" t="s">
        <v>813</v>
      </c>
      <c r="S497">
        <v>0.67118009999999995</v>
      </c>
      <c r="T497" t="s">
        <v>151</v>
      </c>
      <c r="U497">
        <v>8.1405610000000003E-2</v>
      </c>
      <c r="V497" t="s">
        <v>303</v>
      </c>
      <c r="W497">
        <v>3.8767889999999999E-2</v>
      </c>
    </row>
    <row r="498" spans="1:23" x14ac:dyDescent="0.25">
      <c r="A498" s="3" t="str">
        <f>HYPERLINK("http://ids.si.edu/ids/deliveryService?id=NMAH-2008-8568-000002","NMAH-2008-8568-000002")</f>
        <v>NMAH-2008-8568-000002</v>
      </c>
      <c r="B498" s="3" t="s">
        <v>1539</v>
      </c>
      <c r="C498" s="3">
        <v>1359700</v>
      </c>
      <c r="D498" s="3" t="s">
        <v>1512</v>
      </c>
      <c r="E498" s="4" t="s">
        <v>167</v>
      </c>
      <c r="F498" t="s">
        <v>101</v>
      </c>
      <c r="G498">
        <v>0.9843478798866272</v>
      </c>
      <c r="H498" t="s">
        <v>1540</v>
      </c>
      <c r="I498">
        <v>0.96128624677658081</v>
      </c>
      <c r="J498" t="s">
        <v>103</v>
      </c>
      <c r="K498" s="4">
        <v>0.94422942399978638</v>
      </c>
      <c r="L498" t="s">
        <v>341</v>
      </c>
      <c r="M498">
        <v>0.79410230000000004</v>
      </c>
      <c r="N498" t="s">
        <v>167</v>
      </c>
      <c r="O498">
        <v>0.14204663000000001</v>
      </c>
      <c r="P498" t="s">
        <v>1541</v>
      </c>
      <c r="Q498" s="4">
        <v>3.2176454E-2</v>
      </c>
      <c r="R498" t="s">
        <v>341</v>
      </c>
      <c r="S498">
        <v>0.72943574</v>
      </c>
      <c r="T498" t="s">
        <v>167</v>
      </c>
      <c r="U498">
        <v>0.18803408999999999</v>
      </c>
      <c r="V498" t="s">
        <v>161</v>
      </c>
      <c r="W498">
        <v>1.2705190999999999E-2</v>
      </c>
    </row>
    <row r="499" spans="1:23" x14ac:dyDescent="0.25">
      <c r="A499" s="3" t="str">
        <f>HYPERLINK("http://ids.si.edu/ids/deliveryService?id=NMAH-AHB2014q013152","NMAH-AHB2014q013152")</f>
        <v>NMAH-AHB2014q013152</v>
      </c>
      <c r="B499" s="3" t="s">
        <v>1542</v>
      </c>
      <c r="C499" s="3">
        <v>520447</v>
      </c>
      <c r="D499" s="3" t="s">
        <v>1512</v>
      </c>
      <c r="E499" s="4" t="s">
        <v>1543</v>
      </c>
      <c r="F499" t="s">
        <v>1544</v>
      </c>
      <c r="G499">
        <v>0.55528891086578369</v>
      </c>
      <c r="L499" t="s">
        <v>65</v>
      </c>
      <c r="M499">
        <v>0.45508900000000002</v>
      </c>
      <c r="N499" t="s">
        <v>209</v>
      </c>
      <c r="O499">
        <v>0.22915194999999999</v>
      </c>
      <c r="P499" t="s">
        <v>66</v>
      </c>
      <c r="Q499" s="4">
        <v>7.0019289999999998E-2</v>
      </c>
      <c r="R499" t="s">
        <v>460</v>
      </c>
      <c r="S499">
        <v>0.61821130000000002</v>
      </c>
      <c r="T499" t="s">
        <v>65</v>
      </c>
      <c r="U499">
        <v>0.28746620000000001</v>
      </c>
      <c r="V499" t="s">
        <v>209</v>
      </c>
      <c r="W499">
        <v>3.0019977999999999E-2</v>
      </c>
    </row>
    <row r="500" spans="1:23" x14ac:dyDescent="0.25">
      <c r="A500" s="3" t="str">
        <f>HYPERLINK("http://ids.si.edu/ids/deliveryService?id=NMAH-AHB2017q021026","NMAH-AHB2017q021026")</f>
        <v>NMAH-AHB2017q021026</v>
      </c>
      <c r="B500" s="3" t="s">
        <v>1545</v>
      </c>
      <c r="C500" s="3">
        <v>1301446</v>
      </c>
      <c r="D500" s="3" t="s">
        <v>1512</v>
      </c>
      <c r="E500" s="4" t="s">
        <v>842</v>
      </c>
      <c r="F500" t="s">
        <v>196</v>
      </c>
      <c r="G500">
        <v>0.91140949726104736</v>
      </c>
      <c r="H500" t="s">
        <v>61</v>
      </c>
      <c r="I500">
        <v>0.85248786211013794</v>
      </c>
      <c r="J500" t="s">
        <v>112</v>
      </c>
      <c r="K500" s="4">
        <v>0.78258353471755981</v>
      </c>
      <c r="L500" t="s">
        <v>813</v>
      </c>
      <c r="M500">
        <v>0.11335001</v>
      </c>
      <c r="N500" t="s">
        <v>303</v>
      </c>
      <c r="O500">
        <v>9.9766750000000001E-2</v>
      </c>
      <c r="P500" t="s">
        <v>151</v>
      </c>
      <c r="Q500" s="4">
        <v>7.3992334000000007E-2</v>
      </c>
      <c r="R500" t="s">
        <v>303</v>
      </c>
      <c r="S500">
        <v>0.26771234999999999</v>
      </c>
      <c r="T500" t="s">
        <v>813</v>
      </c>
      <c r="U500">
        <v>8.1505439999999998E-2</v>
      </c>
      <c r="V500" t="s">
        <v>689</v>
      </c>
      <c r="W500">
        <v>6.4526E-2</v>
      </c>
    </row>
    <row r="501" spans="1:23" x14ac:dyDescent="0.25">
      <c r="A501" s="3" t="str">
        <f>HYPERLINK("http://ids.si.edu/ids/deliveryService?id=NMAH-AHB2014q013105","NMAH-AHB2014q013105")</f>
        <v>NMAH-AHB2014q013105</v>
      </c>
      <c r="B501" s="3" t="s">
        <v>1546</v>
      </c>
      <c r="C501" s="3">
        <v>1142708</v>
      </c>
      <c r="D501" s="3" t="s">
        <v>1512</v>
      </c>
      <c r="E501" s="4" t="s">
        <v>1543</v>
      </c>
      <c r="F501" t="s">
        <v>126</v>
      </c>
      <c r="G501">
        <v>0.78523039817810059</v>
      </c>
      <c r="H501" t="s">
        <v>1547</v>
      </c>
      <c r="I501">
        <v>0.51165491342544556</v>
      </c>
      <c r="J501" t="s">
        <v>62</v>
      </c>
      <c r="K501" s="4">
        <v>0.50218719244003296</v>
      </c>
      <c r="L501" t="s">
        <v>29</v>
      </c>
      <c r="M501">
        <v>0.31246956999999997</v>
      </c>
      <c r="N501" t="s">
        <v>65</v>
      </c>
      <c r="O501">
        <v>0.24333808000000001</v>
      </c>
      <c r="P501" t="s">
        <v>129</v>
      </c>
      <c r="Q501" s="4">
        <v>5.9921965000000001E-2</v>
      </c>
      <c r="R501" t="s">
        <v>29</v>
      </c>
      <c r="S501">
        <v>0.45130419999999999</v>
      </c>
      <c r="T501" t="s">
        <v>65</v>
      </c>
      <c r="U501">
        <v>0.25657924999999998</v>
      </c>
      <c r="V501" t="s">
        <v>129</v>
      </c>
      <c r="W501">
        <v>7.3372859999999998E-2</v>
      </c>
    </row>
    <row r="502" spans="1:23" x14ac:dyDescent="0.25">
      <c r="A502" s="3" t="str">
        <f>HYPERLINK("http://ids.si.edu/ids/deliveryService?id=NMAH-ET2015-09172","NMAH-ET2015-09172")</f>
        <v>NMAH-ET2015-09172</v>
      </c>
      <c r="B502" s="3" t="s">
        <v>1548</v>
      </c>
      <c r="C502" s="3">
        <v>694858</v>
      </c>
      <c r="D502" s="3" t="s">
        <v>1512</v>
      </c>
      <c r="E502" s="4" t="s">
        <v>1549</v>
      </c>
      <c r="F502" t="s">
        <v>91</v>
      </c>
      <c r="G502">
        <v>0.88283330202102661</v>
      </c>
      <c r="H502" t="s">
        <v>1550</v>
      </c>
      <c r="I502">
        <v>0.6733248233795166</v>
      </c>
      <c r="J502" t="s">
        <v>1551</v>
      </c>
      <c r="K502" s="4">
        <v>0.53710711002349854</v>
      </c>
      <c r="L502" t="s">
        <v>443</v>
      </c>
      <c r="M502">
        <v>0.70412540000000001</v>
      </c>
      <c r="N502" t="s">
        <v>98</v>
      </c>
      <c r="O502">
        <v>0.25534633000000001</v>
      </c>
      <c r="P502" t="s">
        <v>459</v>
      </c>
      <c r="Q502" s="4">
        <v>2.1836939999999999E-2</v>
      </c>
      <c r="R502" t="s">
        <v>443</v>
      </c>
      <c r="S502">
        <v>0.58518500000000007</v>
      </c>
      <c r="T502" t="s">
        <v>98</v>
      </c>
      <c r="U502">
        <v>0.11972107999999999</v>
      </c>
      <c r="V502" t="s">
        <v>1416</v>
      </c>
      <c r="W502">
        <v>0.112119175</v>
      </c>
    </row>
    <row r="503" spans="1:23" x14ac:dyDescent="0.25">
      <c r="A503" s="3" t="str">
        <f>HYPERLINK("http://ids.si.edu/ids/deliveryService?id=NMAH-ET2013-40229","NMAH-ET2013-40229")</f>
        <v>NMAH-ET2013-40229</v>
      </c>
      <c r="B503" s="3" t="s">
        <v>1552</v>
      </c>
      <c r="C503" s="3">
        <v>1066422</v>
      </c>
      <c r="D503" s="3" t="s">
        <v>1512</v>
      </c>
      <c r="E503" s="4" t="s">
        <v>1553</v>
      </c>
      <c r="F503" t="s">
        <v>91</v>
      </c>
      <c r="G503">
        <v>0.92529410123825073</v>
      </c>
      <c r="H503" t="s">
        <v>956</v>
      </c>
      <c r="I503">
        <v>0.90280383825302124</v>
      </c>
      <c r="J503" t="s">
        <v>188</v>
      </c>
      <c r="K503" s="4">
        <v>0.87071681022644043</v>
      </c>
      <c r="L503" t="s">
        <v>888</v>
      </c>
      <c r="M503">
        <v>0.98419240000000008</v>
      </c>
      <c r="N503" t="s">
        <v>156</v>
      </c>
      <c r="O503">
        <v>7.6076643999999994E-3</v>
      </c>
      <c r="P503" t="s">
        <v>97</v>
      </c>
      <c r="Q503" s="4">
        <v>2.6215047E-3</v>
      </c>
      <c r="R503" t="s">
        <v>888</v>
      </c>
      <c r="S503">
        <v>0.96425390000000011</v>
      </c>
      <c r="T503" t="s">
        <v>156</v>
      </c>
      <c r="U503">
        <v>9.4895240000000009E-3</v>
      </c>
      <c r="V503" t="s">
        <v>44</v>
      </c>
      <c r="W503">
        <v>8.1641609999999996E-3</v>
      </c>
    </row>
    <row r="504" spans="1:23" x14ac:dyDescent="0.25">
      <c r="A504" s="3" t="str">
        <f>HYPERLINK("http://ids.si.edu/ids/deliveryService?id=NMAH-ET2016-05477","NMAH-ET2016-05477")</f>
        <v>NMAH-ET2016-05477</v>
      </c>
      <c r="B504" s="3" t="s">
        <v>1554</v>
      </c>
      <c r="C504" s="3">
        <v>527562</v>
      </c>
      <c r="D504" s="3" t="s">
        <v>1512</v>
      </c>
      <c r="E504" s="4" t="s">
        <v>1555</v>
      </c>
      <c r="F504" t="s">
        <v>519</v>
      </c>
      <c r="G504">
        <v>0.8859856128692627</v>
      </c>
      <c r="H504" t="s">
        <v>264</v>
      </c>
      <c r="I504">
        <v>0.8178744912147522</v>
      </c>
      <c r="J504" t="s">
        <v>126</v>
      </c>
      <c r="K504" s="4">
        <v>0.72119230031967163</v>
      </c>
      <c r="L504" t="s">
        <v>65</v>
      </c>
      <c r="M504">
        <v>0.74296260000000003</v>
      </c>
      <c r="N504" t="s">
        <v>79</v>
      </c>
      <c r="O504">
        <v>0.102175236</v>
      </c>
      <c r="P504" t="s">
        <v>29</v>
      </c>
      <c r="Q504" s="4">
        <v>7.8812199999999999E-2</v>
      </c>
      <c r="R504" t="s">
        <v>29</v>
      </c>
      <c r="S504">
        <v>0.73702853999999995</v>
      </c>
      <c r="T504" t="s">
        <v>65</v>
      </c>
      <c r="U504">
        <v>6.4678180000000002E-2</v>
      </c>
      <c r="V504" t="s">
        <v>66</v>
      </c>
      <c r="W504">
        <v>4.2672599999999998E-2</v>
      </c>
    </row>
    <row r="505" spans="1:23" x14ac:dyDescent="0.25">
      <c r="A505" s="3" t="str">
        <f>HYPERLINK("http://ids.si.edu/ids/deliveryService?id=NMAH-ET2015-15061","NMAH-ET2015-15061")</f>
        <v>NMAH-ET2015-15061</v>
      </c>
      <c r="B505" s="3" t="s">
        <v>1556</v>
      </c>
      <c r="C505" s="3">
        <v>875582</v>
      </c>
      <c r="D505" s="3" t="s">
        <v>1512</v>
      </c>
      <c r="E505" s="4" t="s">
        <v>1557</v>
      </c>
      <c r="F505" t="s">
        <v>147</v>
      </c>
      <c r="G505">
        <v>0.92415362596511841</v>
      </c>
      <c r="H505" t="s">
        <v>179</v>
      </c>
      <c r="I505">
        <v>0.89032262563705444</v>
      </c>
      <c r="J505" t="s">
        <v>178</v>
      </c>
      <c r="K505" s="4">
        <v>0.88661313056945801</v>
      </c>
      <c r="L505" t="s">
        <v>184</v>
      </c>
      <c r="M505">
        <v>0.76147586</v>
      </c>
      <c r="N505" t="s">
        <v>673</v>
      </c>
      <c r="O505">
        <v>0.205261</v>
      </c>
      <c r="P505" t="s">
        <v>148</v>
      </c>
      <c r="Q505" s="4">
        <v>3.5334659999999999E-3</v>
      </c>
      <c r="R505" t="s">
        <v>184</v>
      </c>
      <c r="S505">
        <v>0.61486099999999999</v>
      </c>
      <c r="T505" t="s">
        <v>673</v>
      </c>
      <c r="U505">
        <v>0.26488460000000003</v>
      </c>
      <c r="V505" t="s">
        <v>1023</v>
      </c>
      <c r="W505">
        <v>2.7732107999999998E-2</v>
      </c>
    </row>
    <row r="506" spans="1:23" x14ac:dyDescent="0.25">
      <c r="A506" s="3" t="str">
        <f>HYPERLINK("http://ids.si.edu/ids/deliveryService?id=NMAH-ET2017-05628-000001","NMAH-ET2017-05628-000001")</f>
        <v>NMAH-ET2017-05628-000001</v>
      </c>
      <c r="B506" s="3" t="s">
        <v>1558</v>
      </c>
      <c r="C506" s="3">
        <v>1829998</v>
      </c>
      <c r="D506" s="3" t="s">
        <v>1512</v>
      </c>
      <c r="E506" s="4" t="s">
        <v>1559</v>
      </c>
      <c r="F506" t="s">
        <v>195</v>
      </c>
      <c r="G506">
        <v>0.70256614685058594</v>
      </c>
      <c r="H506" t="s">
        <v>922</v>
      </c>
      <c r="I506">
        <v>0.53169399499893188</v>
      </c>
      <c r="J506" t="s">
        <v>311</v>
      </c>
      <c r="K506" s="4">
        <v>0.50407630205154419</v>
      </c>
      <c r="L506" t="s">
        <v>259</v>
      </c>
      <c r="M506">
        <v>0.14305997000000001</v>
      </c>
      <c r="N506" t="s">
        <v>189</v>
      </c>
      <c r="O506">
        <v>8.7800399999999987E-2</v>
      </c>
      <c r="P506" t="s">
        <v>334</v>
      </c>
      <c r="Q506" s="4">
        <v>8.5346140000000001E-2</v>
      </c>
      <c r="R506" t="s">
        <v>334</v>
      </c>
      <c r="S506">
        <v>0.18520549</v>
      </c>
      <c r="T506" t="s">
        <v>259</v>
      </c>
      <c r="U506">
        <v>0.10083122</v>
      </c>
      <c r="V506" t="s">
        <v>369</v>
      </c>
      <c r="W506">
        <v>9.9077314E-2</v>
      </c>
    </row>
    <row r="507" spans="1:23" x14ac:dyDescent="0.25">
      <c r="A507" s="3" t="str">
        <f>HYPERLINK("http://ids.si.edu/ids/deliveryService?id=NMAH-AHB2016q013068","NMAH-AHB2016q013068")</f>
        <v>NMAH-AHB2016q013068</v>
      </c>
      <c r="B507" s="3" t="s">
        <v>1560</v>
      </c>
      <c r="C507" s="3">
        <v>542156</v>
      </c>
      <c r="D507" s="3" t="s">
        <v>1512</v>
      </c>
      <c r="E507" s="4" t="s">
        <v>125</v>
      </c>
      <c r="F507" t="s">
        <v>1561</v>
      </c>
      <c r="G507">
        <v>0.59830546379089355</v>
      </c>
      <c r="H507" t="s">
        <v>1562</v>
      </c>
      <c r="I507">
        <v>0.58220624923706055</v>
      </c>
      <c r="L507" t="s">
        <v>29</v>
      </c>
      <c r="M507">
        <v>0.8748341999999999</v>
      </c>
      <c r="N507" t="s">
        <v>253</v>
      </c>
      <c r="O507">
        <v>3.6705586999999998E-2</v>
      </c>
      <c r="P507" t="s">
        <v>129</v>
      </c>
      <c r="Q507" s="4">
        <v>3.3044654999999999E-2</v>
      </c>
      <c r="R507" t="s">
        <v>29</v>
      </c>
      <c r="S507">
        <v>0.65743165999999997</v>
      </c>
      <c r="T507" t="s">
        <v>77</v>
      </c>
      <c r="U507">
        <v>0.25678697</v>
      </c>
      <c r="V507" t="s">
        <v>253</v>
      </c>
      <c r="W507">
        <v>2.1213492E-2</v>
      </c>
    </row>
    <row r="508" spans="1:23" x14ac:dyDescent="0.25">
      <c r="A508" s="3" t="str">
        <f>HYPERLINK("http://ids.si.edu/ids/deliveryService?id=NMAH-AHB2017q021022","NMAH-AHB2017q021022")</f>
        <v>NMAH-AHB2017q021022</v>
      </c>
      <c r="B508" s="3" t="s">
        <v>1563</v>
      </c>
      <c r="C508" s="3">
        <v>1303055</v>
      </c>
      <c r="D508" s="3" t="s">
        <v>1512</v>
      </c>
      <c r="E508" s="4" t="s">
        <v>842</v>
      </c>
      <c r="F508" t="s">
        <v>61</v>
      </c>
      <c r="G508">
        <v>0.85248786211013794</v>
      </c>
      <c r="H508" t="s">
        <v>1224</v>
      </c>
      <c r="I508">
        <v>0.84338057041168213</v>
      </c>
      <c r="J508" t="s">
        <v>112</v>
      </c>
      <c r="K508" s="4">
        <v>0.68572378158569336</v>
      </c>
      <c r="L508" t="s">
        <v>813</v>
      </c>
      <c r="M508">
        <v>0.72654779999999997</v>
      </c>
      <c r="N508" t="s">
        <v>273</v>
      </c>
      <c r="O508">
        <v>5.6163690000000002E-2</v>
      </c>
      <c r="P508" t="s">
        <v>969</v>
      </c>
      <c r="Q508" s="4">
        <v>2.5625433999999999E-2</v>
      </c>
      <c r="R508" t="s">
        <v>813</v>
      </c>
      <c r="S508">
        <v>0.38802409999999998</v>
      </c>
      <c r="T508" t="s">
        <v>586</v>
      </c>
      <c r="U508">
        <v>0.20653352</v>
      </c>
      <c r="V508" t="s">
        <v>628</v>
      </c>
      <c r="W508">
        <v>0.19929738</v>
      </c>
    </row>
    <row r="509" spans="1:23" x14ac:dyDescent="0.25">
      <c r="A509" s="3" t="str">
        <f>HYPERLINK("http://ids.si.edu/ids/deliveryService?id=NMAH-AHB2014q013108","NMAH-AHB2014q013108")</f>
        <v>NMAH-AHB2014q013108</v>
      </c>
      <c r="B509" s="3" t="s">
        <v>1564</v>
      </c>
      <c r="C509" s="3">
        <v>506525</v>
      </c>
      <c r="D509" s="3" t="s">
        <v>1512</v>
      </c>
      <c r="E509" s="4" t="s">
        <v>1543</v>
      </c>
      <c r="F509" t="s">
        <v>126</v>
      </c>
      <c r="G509">
        <v>0.93026620149612427</v>
      </c>
      <c r="H509" t="s">
        <v>519</v>
      </c>
      <c r="I509">
        <v>0.84008806943893433</v>
      </c>
      <c r="J509" t="s">
        <v>741</v>
      </c>
      <c r="K509" s="4">
        <v>0.61912631988525391</v>
      </c>
      <c r="L509" t="s">
        <v>65</v>
      </c>
      <c r="M509">
        <v>0.60699093000000004</v>
      </c>
      <c r="N509" t="s">
        <v>129</v>
      </c>
      <c r="O509">
        <v>0.28724741999999998</v>
      </c>
      <c r="P509" t="s">
        <v>29</v>
      </c>
      <c r="Q509" s="4">
        <v>3.9423122999999997E-2</v>
      </c>
      <c r="R509" t="s">
        <v>129</v>
      </c>
      <c r="S509">
        <v>0.55226969999999997</v>
      </c>
      <c r="T509" t="s">
        <v>65</v>
      </c>
      <c r="U509">
        <v>0.21056944</v>
      </c>
      <c r="V509" t="s">
        <v>66</v>
      </c>
      <c r="W509">
        <v>0.16856225999999999</v>
      </c>
    </row>
    <row r="510" spans="1:23" x14ac:dyDescent="0.25">
      <c r="A510" s="3" t="str">
        <f>HYPERLINK("http://ids.si.edu/ids/deliveryService?id=NMAH-RWS2012-05635","NMAH-RWS2012-05635")</f>
        <v>NMAH-RWS2012-05635</v>
      </c>
      <c r="B510" s="3" t="s">
        <v>1565</v>
      </c>
      <c r="C510" s="3">
        <v>510365</v>
      </c>
      <c r="D510" s="3" t="s">
        <v>1512</v>
      </c>
      <c r="E510" s="4" t="s">
        <v>1566</v>
      </c>
      <c r="F510" t="s">
        <v>256</v>
      </c>
      <c r="G510">
        <v>0.59585320949554443</v>
      </c>
      <c r="L510" t="s">
        <v>1567</v>
      </c>
      <c r="M510">
        <v>0.54687150000000007</v>
      </c>
      <c r="N510" t="s">
        <v>559</v>
      </c>
      <c r="O510">
        <v>0.31972402</v>
      </c>
      <c r="P510" t="s">
        <v>185</v>
      </c>
      <c r="Q510" s="4">
        <v>8.8518105E-2</v>
      </c>
      <c r="R510" t="s">
        <v>1567</v>
      </c>
      <c r="S510">
        <v>0.34281042</v>
      </c>
      <c r="T510" t="s">
        <v>190</v>
      </c>
      <c r="U510">
        <v>0.15973212000000001</v>
      </c>
      <c r="V510" t="s">
        <v>962</v>
      </c>
      <c r="W510">
        <v>0.12753803999999999</v>
      </c>
    </row>
    <row r="511" spans="1:23" x14ac:dyDescent="0.25">
      <c r="A511" s="3" t="str">
        <f>HYPERLINK("http://ids.si.edu/ids/deliveryService?id=NMAH-AHB2016q013034","NMAH-AHB2016q013034")</f>
        <v>NMAH-AHB2016q013034</v>
      </c>
      <c r="B511" s="3" t="s">
        <v>1568</v>
      </c>
      <c r="C511" s="3">
        <v>741798</v>
      </c>
      <c r="D511" s="3" t="s">
        <v>1512</v>
      </c>
      <c r="E511" s="4" t="s">
        <v>1569</v>
      </c>
      <c r="F511" t="s">
        <v>61</v>
      </c>
      <c r="G511">
        <v>0.98076295852661133</v>
      </c>
      <c r="H511" t="s">
        <v>112</v>
      </c>
      <c r="I511">
        <v>0.83145445585250854</v>
      </c>
      <c r="J511" t="s">
        <v>111</v>
      </c>
      <c r="K511" s="4">
        <v>0.68855381011962891</v>
      </c>
      <c r="L511" t="s">
        <v>77</v>
      </c>
      <c r="M511">
        <v>0.55777819999999989</v>
      </c>
      <c r="N511" t="s">
        <v>222</v>
      </c>
      <c r="O511">
        <v>0.23556584</v>
      </c>
      <c r="P511" t="s">
        <v>29</v>
      </c>
      <c r="Q511" s="4">
        <v>0.13831742</v>
      </c>
      <c r="R511" t="s">
        <v>29</v>
      </c>
      <c r="S511">
        <v>0.30776822999999998</v>
      </c>
      <c r="T511" t="s">
        <v>77</v>
      </c>
      <c r="U511">
        <v>0.26467267</v>
      </c>
      <c r="V511" t="s">
        <v>79</v>
      </c>
      <c r="W511">
        <v>0.14536291000000001</v>
      </c>
    </row>
    <row r="512" spans="1:23" x14ac:dyDescent="0.25">
      <c r="A512" s="3" t="str">
        <f>HYPERLINK("http://ids.si.edu/ids/deliveryService?id=NMAH-2008-8548","NMAH-2008-8548")</f>
        <v>NMAH-2008-8548</v>
      </c>
      <c r="B512" s="3" t="s">
        <v>1570</v>
      </c>
      <c r="C512" s="3">
        <v>1318428</v>
      </c>
      <c r="D512" s="3" t="s">
        <v>1512</v>
      </c>
      <c r="E512" s="4" t="s">
        <v>137</v>
      </c>
      <c r="F512" t="s">
        <v>91</v>
      </c>
      <c r="G512">
        <v>0.95297396183013916</v>
      </c>
      <c r="H512" t="s">
        <v>50</v>
      </c>
      <c r="I512">
        <v>0.6591346263885498</v>
      </c>
      <c r="J512" t="s">
        <v>49</v>
      </c>
      <c r="K512" s="4">
        <v>0.58892363309860229</v>
      </c>
      <c r="L512" t="s">
        <v>32</v>
      </c>
      <c r="M512">
        <v>0.23664156</v>
      </c>
      <c r="N512" t="s">
        <v>82</v>
      </c>
      <c r="O512">
        <v>0.11049559</v>
      </c>
      <c r="P512" t="s">
        <v>1571</v>
      </c>
      <c r="Q512" s="4">
        <v>5.6515715999999987E-2</v>
      </c>
      <c r="R512" t="s">
        <v>82</v>
      </c>
      <c r="S512">
        <v>0.21707612000000001</v>
      </c>
      <c r="T512" t="s">
        <v>84</v>
      </c>
      <c r="U512">
        <v>0.110492274</v>
      </c>
      <c r="V512" t="s">
        <v>247</v>
      </c>
      <c r="W512">
        <v>6.3046119999999997E-2</v>
      </c>
    </row>
    <row r="513" spans="1:23" x14ac:dyDescent="0.25">
      <c r="A513" s="3" t="str">
        <f>HYPERLINK("http://ids.si.edu/ids/deliveryService?id=NMAH-ET2016-05542","NMAH-ET2016-05542")</f>
        <v>NMAH-ET2016-05542</v>
      </c>
      <c r="B513" s="3" t="s">
        <v>1572</v>
      </c>
      <c r="C513" s="3">
        <v>522015</v>
      </c>
      <c r="D513" s="3" t="s">
        <v>1512</v>
      </c>
      <c r="E513" s="4" t="s">
        <v>248</v>
      </c>
      <c r="F513" t="s">
        <v>1573</v>
      </c>
      <c r="G513">
        <v>0.54201555252075195</v>
      </c>
      <c r="H513" t="s">
        <v>139</v>
      </c>
      <c r="I513">
        <v>0.51977252960205078</v>
      </c>
      <c r="J513" t="s">
        <v>50</v>
      </c>
      <c r="K513" s="4">
        <v>0.5114516019821167</v>
      </c>
      <c r="L513" t="s">
        <v>764</v>
      </c>
      <c r="M513">
        <v>0.20330036000000001</v>
      </c>
      <c r="N513" t="s">
        <v>87</v>
      </c>
      <c r="O513">
        <v>0.11660181999999999</v>
      </c>
      <c r="P513" t="s">
        <v>258</v>
      </c>
      <c r="Q513" s="4">
        <v>5.9950589999999998E-2</v>
      </c>
      <c r="R513" t="s">
        <v>857</v>
      </c>
      <c r="S513">
        <v>9.3357490000000001E-2</v>
      </c>
      <c r="T513" t="s">
        <v>314</v>
      </c>
      <c r="U513">
        <v>5.6576191999999997E-2</v>
      </c>
      <c r="V513" t="s">
        <v>820</v>
      </c>
      <c r="W513">
        <v>5.4123329999999997E-2</v>
      </c>
    </row>
    <row r="514" spans="1:23" x14ac:dyDescent="0.25">
      <c r="A514" s="3" t="str">
        <f>HYPERLINK("http://ids.si.edu/ids/deliveryService?id=NMAH-ET2016-12284","NMAH-ET2016-12284")</f>
        <v>NMAH-ET2016-12284</v>
      </c>
      <c r="B514" s="3" t="s">
        <v>1574</v>
      </c>
      <c r="C514" s="3">
        <v>1199322</v>
      </c>
      <c r="D514" s="3" t="s">
        <v>1512</v>
      </c>
      <c r="E514" s="4" t="s">
        <v>1575</v>
      </c>
      <c r="F514" t="s">
        <v>1576</v>
      </c>
      <c r="G514">
        <v>0.98190081119537354</v>
      </c>
      <c r="H514" t="s">
        <v>1577</v>
      </c>
      <c r="I514">
        <v>0.94893419742584229</v>
      </c>
      <c r="J514" t="s">
        <v>1578</v>
      </c>
      <c r="K514" s="4">
        <v>0.93791019916534424</v>
      </c>
      <c r="L514" t="s">
        <v>240</v>
      </c>
      <c r="M514">
        <v>0.29911238000000001</v>
      </c>
      <c r="N514" t="s">
        <v>302</v>
      </c>
      <c r="O514">
        <v>0.27779802999999997</v>
      </c>
      <c r="P514" t="s">
        <v>1579</v>
      </c>
      <c r="Q514" s="4">
        <v>0.22689006</v>
      </c>
      <c r="R514" t="s">
        <v>240</v>
      </c>
      <c r="S514">
        <v>0.73628866999999998</v>
      </c>
      <c r="T514" t="s">
        <v>1580</v>
      </c>
      <c r="U514">
        <v>1.6688802999999999E-2</v>
      </c>
      <c r="V514" t="s">
        <v>1581</v>
      </c>
      <c r="W514">
        <v>1.4446638499999999E-2</v>
      </c>
    </row>
    <row r="515" spans="1:23" x14ac:dyDescent="0.25">
      <c r="A515" s="3" t="str">
        <f>HYPERLINK("http://ids.si.edu/ids/deliveryService?id=NMAH-ET2013-40240","NMAH-ET2013-40240")</f>
        <v>NMAH-ET2013-40240</v>
      </c>
      <c r="B515" s="3" t="s">
        <v>1582</v>
      </c>
      <c r="C515" s="3">
        <v>516612</v>
      </c>
      <c r="D515" s="3" t="s">
        <v>1512</v>
      </c>
      <c r="E515" s="4" t="s">
        <v>888</v>
      </c>
      <c r="F515" t="s">
        <v>1583</v>
      </c>
      <c r="G515">
        <v>0.86821728944778442</v>
      </c>
      <c r="H515" t="s">
        <v>188</v>
      </c>
      <c r="I515">
        <v>0.70382654666900635</v>
      </c>
      <c r="J515" t="s">
        <v>947</v>
      </c>
      <c r="K515" s="4">
        <v>0.70306897163391113</v>
      </c>
      <c r="L515" t="s">
        <v>391</v>
      </c>
      <c r="M515">
        <v>0.57534735999999997</v>
      </c>
      <c r="N515" t="s">
        <v>787</v>
      </c>
      <c r="O515">
        <v>6.4033590000000001E-2</v>
      </c>
      <c r="P515" t="s">
        <v>1125</v>
      </c>
      <c r="Q515" s="4">
        <v>6.1103610000000003E-2</v>
      </c>
      <c r="R515" t="s">
        <v>1584</v>
      </c>
      <c r="S515">
        <v>0.64775340000000003</v>
      </c>
      <c r="T515" t="s">
        <v>319</v>
      </c>
      <c r="U515">
        <v>6.9499395999999991E-2</v>
      </c>
      <c r="V515" t="s">
        <v>277</v>
      </c>
      <c r="W515">
        <v>4.4450139999999999E-2</v>
      </c>
    </row>
    <row r="516" spans="1:23" x14ac:dyDescent="0.25">
      <c r="A516" s="3" t="str">
        <f>HYPERLINK("http://ids.si.edu/ids/deliveryService?id=NMAH-AHB2017q021021","NMAH-AHB2017q021021")</f>
        <v>NMAH-AHB2017q021021</v>
      </c>
      <c r="B516" s="3" t="s">
        <v>1585</v>
      </c>
      <c r="C516" s="3">
        <v>1182175</v>
      </c>
      <c r="D516" s="3" t="s">
        <v>1512</v>
      </c>
      <c r="E516" s="4" t="s">
        <v>842</v>
      </c>
      <c r="F516" t="s">
        <v>61</v>
      </c>
      <c r="G516">
        <v>0.96359223127365112</v>
      </c>
      <c r="H516" t="s">
        <v>112</v>
      </c>
      <c r="I516">
        <v>0.90149790048599243</v>
      </c>
      <c r="J516" t="s">
        <v>1586</v>
      </c>
      <c r="K516" s="4">
        <v>0.86538600921630859</v>
      </c>
      <c r="L516" t="s">
        <v>253</v>
      </c>
      <c r="M516">
        <v>0.47709990000000002</v>
      </c>
      <c r="N516" t="s">
        <v>782</v>
      </c>
      <c r="O516">
        <v>5.7767063E-2</v>
      </c>
      <c r="P516" t="s">
        <v>405</v>
      </c>
      <c r="Q516" s="4">
        <v>4.1085888000000001E-2</v>
      </c>
      <c r="R516" t="s">
        <v>405</v>
      </c>
      <c r="S516">
        <v>0.15596397000000001</v>
      </c>
      <c r="T516" t="s">
        <v>253</v>
      </c>
      <c r="U516">
        <v>5.660888E-2</v>
      </c>
      <c r="V516" t="s">
        <v>689</v>
      </c>
      <c r="W516">
        <v>5.5348314000000003E-2</v>
      </c>
    </row>
    <row r="517" spans="1:23" x14ac:dyDescent="0.25">
      <c r="A517" s="3" t="str">
        <f>HYPERLINK("http://ids.si.edu/ids/deliveryService?id=NMAH-AHB2016q013084","NMAH-AHB2016q013084")</f>
        <v>NMAH-AHB2016q013084</v>
      </c>
      <c r="B517" s="3" t="s">
        <v>1587</v>
      </c>
      <c r="C517" s="3">
        <v>1465288</v>
      </c>
      <c r="D517" s="3" t="s">
        <v>1512</v>
      </c>
      <c r="E517" s="4" t="s">
        <v>1182</v>
      </c>
      <c r="F517" t="s">
        <v>126</v>
      </c>
      <c r="G517">
        <v>0.84268051385879517</v>
      </c>
      <c r="H517" t="s">
        <v>311</v>
      </c>
      <c r="I517">
        <v>0.66881489753723145</v>
      </c>
      <c r="J517" t="s">
        <v>264</v>
      </c>
      <c r="K517" s="4">
        <v>0.54705351591110229</v>
      </c>
      <c r="L517" t="s">
        <v>86</v>
      </c>
      <c r="M517">
        <v>0.38349250000000001</v>
      </c>
      <c r="N517" t="s">
        <v>30</v>
      </c>
      <c r="O517">
        <v>7.5226989999999994E-2</v>
      </c>
      <c r="P517" t="s">
        <v>1588</v>
      </c>
      <c r="Q517" s="4">
        <v>5.2214300000000012E-2</v>
      </c>
      <c r="R517" t="s">
        <v>65</v>
      </c>
      <c r="S517">
        <v>0.40731742999999998</v>
      </c>
      <c r="T517" t="s">
        <v>678</v>
      </c>
      <c r="U517">
        <v>0.113041975</v>
      </c>
      <c r="V517" t="s">
        <v>923</v>
      </c>
      <c r="W517">
        <v>4.6324160000000003E-2</v>
      </c>
    </row>
    <row r="518" spans="1:23" x14ac:dyDescent="0.25">
      <c r="A518" s="3" t="str">
        <f>HYPERLINK("http://ids.si.edu/ids/deliveryService?id=NMAH-2000-7105","NMAH-2000-7105")</f>
        <v>NMAH-2000-7105</v>
      </c>
      <c r="B518" s="3" t="s">
        <v>1589</v>
      </c>
      <c r="C518" s="3">
        <v>687509</v>
      </c>
      <c r="D518" s="3" t="s">
        <v>1512</v>
      </c>
      <c r="E518" s="4" t="s">
        <v>764</v>
      </c>
      <c r="F518" t="s">
        <v>1590</v>
      </c>
      <c r="G518">
        <v>0.5822712779045105</v>
      </c>
      <c r="H518" t="s">
        <v>506</v>
      </c>
      <c r="I518">
        <v>0.54007583856582642</v>
      </c>
      <c r="J518" t="s">
        <v>574</v>
      </c>
      <c r="K518" s="4">
        <v>0.53797447681427002</v>
      </c>
      <c r="L518" t="s">
        <v>312</v>
      </c>
      <c r="M518">
        <v>0.42044342000000001</v>
      </c>
      <c r="N518" t="s">
        <v>620</v>
      </c>
      <c r="O518">
        <v>6.5071959999999998E-2</v>
      </c>
      <c r="P518" t="s">
        <v>572</v>
      </c>
      <c r="Q518" s="4">
        <v>5.5701189999999998E-2</v>
      </c>
      <c r="R518" t="s">
        <v>620</v>
      </c>
      <c r="S518">
        <v>0.1637419</v>
      </c>
      <c r="T518" t="s">
        <v>258</v>
      </c>
      <c r="U518">
        <v>0.15550317</v>
      </c>
      <c r="V518" t="s">
        <v>314</v>
      </c>
      <c r="W518">
        <v>9.89926E-2</v>
      </c>
    </row>
    <row r="519" spans="1:23" x14ac:dyDescent="0.25">
      <c r="A519" s="3" t="str">
        <f>HYPERLINK("http://ids.si.edu/ids/deliveryService?id=NMAH-RWS2012-04290","NMAH-RWS2012-04290")</f>
        <v>NMAH-RWS2012-04290</v>
      </c>
      <c r="B519" s="3" t="s">
        <v>1591</v>
      </c>
      <c r="C519" s="3">
        <v>500153</v>
      </c>
      <c r="D519" s="3" t="s">
        <v>1512</v>
      </c>
      <c r="E519" s="4" t="s">
        <v>1592</v>
      </c>
      <c r="F519" t="s">
        <v>188</v>
      </c>
      <c r="G519">
        <v>0.81389027833938599</v>
      </c>
      <c r="H519" t="s">
        <v>936</v>
      </c>
      <c r="I519">
        <v>0.77432584762573242</v>
      </c>
      <c r="J519" t="s">
        <v>50</v>
      </c>
      <c r="K519" s="4">
        <v>0.76671713590621948</v>
      </c>
      <c r="L519" t="s">
        <v>159</v>
      </c>
      <c r="M519">
        <v>0.3718824</v>
      </c>
      <c r="N519" t="s">
        <v>83</v>
      </c>
      <c r="O519">
        <v>4.1545489999999997E-2</v>
      </c>
      <c r="P519" t="s">
        <v>336</v>
      </c>
      <c r="Q519" s="4">
        <v>3.5379651999999998E-2</v>
      </c>
      <c r="R519" t="s">
        <v>159</v>
      </c>
      <c r="S519">
        <v>0.72387139999999994</v>
      </c>
      <c r="T519" t="s">
        <v>1215</v>
      </c>
      <c r="U519">
        <v>4.6367127000000001E-2</v>
      </c>
      <c r="V519" t="s">
        <v>1593</v>
      </c>
      <c r="W519">
        <v>2.9707279999999999E-2</v>
      </c>
    </row>
    <row r="520" spans="1:23" x14ac:dyDescent="0.25">
      <c r="A520" s="3" t="str">
        <f>HYPERLINK("http://ids.si.edu/ids/deliveryService?id=NMAH-AHB2014q013156","NMAH-AHB2014q013156")</f>
        <v>NMAH-AHB2014q013156</v>
      </c>
      <c r="B520" s="3" t="s">
        <v>1594</v>
      </c>
      <c r="C520" s="3">
        <v>547264</v>
      </c>
      <c r="D520" s="3" t="s">
        <v>1512</v>
      </c>
      <c r="E520" s="4" t="s">
        <v>740</v>
      </c>
      <c r="F520" t="s">
        <v>62</v>
      </c>
      <c r="G520">
        <v>0.50218719244003296</v>
      </c>
      <c r="L520" t="s">
        <v>731</v>
      </c>
      <c r="M520">
        <v>0.96299859999999993</v>
      </c>
      <c r="N520" t="s">
        <v>209</v>
      </c>
      <c r="O520">
        <v>6.914608E-3</v>
      </c>
      <c r="P520" t="s">
        <v>29</v>
      </c>
      <c r="Q520" s="4">
        <v>3.0225682999999999E-3</v>
      </c>
      <c r="R520" t="s">
        <v>209</v>
      </c>
      <c r="S520">
        <v>0.27592351999999998</v>
      </c>
      <c r="T520" t="s">
        <v>66</v>
      </c>
      <c r="U520">
        <v>0.22823830000000001</v>
      </c>
      <c r="V520" t="s">
        <v>678</v>
      </c>
      <c r="W520">
        <v>0.12035425</v>
      </c>
    </row>
    <row r="521" spans="1:23" x14ac:dyDescent="0.25">
      <c r="A521" s="3" t="str">
        <f>HYPERLINK("http://ids.si.edu/ids/deliveryService?id=NMAH-2008-10163","NMAH-2008-10163")</f>
        <v>NMAH-2008-10163</v>
      </c>
      <c r="B521" s="3" t="s">
        <v>1595</v>
      </c>
      <c r="C521" s="3">
        <v>515538</v>
      </c>
      <c r="D521" s="3" t="s">
        <v>1512</v>
      </c>
      <c r="E521" s="4" t="s">
        <v>86</v>
      </c>
      <c r="F521" t="s">
        <v>832</v>
      </c>
      <c r="G521">
        <v>0.97169047594070435</v>
      </c>
      <c r="H521" t="s">
        <v>799</v>
      </c>
      <c r="I521">
        <v>0.90994751453399658</v>
      </c>
      <c r="J521" t="s">
        <v>809</v>
      </c>
      <c r="K521" s="4">
        <v>0.90440863370895386</v>
      </c>
      <c r="L521" t="s">
        <v>848</v>
      </c>
      <c r="M521">
        <v>0.66163509999999992</v>
      </c>
      <c r="N521" t="s">
        <v>897</v>
      </c>
      <c r="O521">
        <v>0.22931118</v>
      </c>
      <c r="P521" t="s">
        <v>86</v>
      </c>
      <c r="Q521" s="4">
        <v>7.4121629999999994E-2</v>
      </c>
      <c r="R521" t="s">
        <v>897</v>
      </c>
      <c r="S521">
        <v>0.49859090000000011</v>
      </c>
      <c r="T521" t="s">
        <v>848</v>
      </c>
      <c r="U521">
        <v>0.20816556</v>
      </c>
      <c r="V521" t="s">
        <v>86</v>
      </c>
      <c r="W521">
        <v>0.15928036000000001</v>
      </c>
    </row>
    <row r="522" spans="1:23" x14ac:dyDescent="0.25">
      <c r="A522" s="3" t="str">
        <f>HYPERLINK("http://ids.si.edu/ids/deliveryService?id=NMAH-ET2015-07951","NMAH-ET2015-07951")</f>
        <v>NMAH-ET2015-07951</v>
      </c>
      <c r="B522" s="3" t="s">
        <v>1596</v>
      </c>
      <c r="C522" s="3">
        <v>1054818</v>
      </c>
      <c r="D522" s="3" t="s">
        <v>1512</v>
      </c>
      <c r="E522" s="4" t="s">
        <v>1597</v>
      </c>
      <c r="F522" t="s">
        <v>1598</v>
      </c>
      <c r="G522">
        <v>0.96234327554702759</v>
      </c>
      <c r="H522" t="s">
        <v>361</v>
      </c>
      <c r="I522">
        <v>0.74897688627243042</v>
      </c>
      <c r="J522" t="s">
        <v>188</v>
      </c>
      <c r="K522" s="4">
        <v>0.66691267490386963</v>
      </c>
      <c r="L522" t="s">
        <v>1599</v>
      </c>
      <c r="M522">
        <v>0.60055923</v>
      </c>
      <c r="N522" t="s">
        <v>829</v>
      </c>
      <c r="O522">
        <v>5.6950405000000003E-2</v>
      </c>
      <c r="P522" t="s">
        <v>1600</v>
      </c>
      <c r="Q522" s="4">
        <v>5.2048743000000001E-2</v>
      </c>
      <c r="R522" t="s">
        <v>240</v>
      </c>
      <c r="S522">
        <v>9.2672729999999995E-2</v>
      </c>
      <c r="T522" t="s">
        <v>623</v>
      </c>
      <c r="U522">
        <v>5.4643682999999998E-2</v>
      </c>
      <c r="V522" t="s">
        <v>1600</v>
      </c>
      <c r="W522">
        <v>4.5401108000000003E-2</v>
      </c>
    </row>
    <row r="523" spans="1:23" x14ac:dyDescent="0.25">
      <c r="A523" s="3" t="str">
        <f>HYPERLINK("http://ids.si.edu/ids/deliveryService?id=NMAH-AHB2017q021032","NMAH-AHB2017q021032")</f>
        <v>NMAH-AHB2017q021032</v>
      </c>
      <c r="B523" s="3" t="s">
        <v>1601</v>
      </c>
      <c r="C523" s="3">
        <v>1460010</v>
      </c>
      <c r="D523" s="3" t="s">
        <v>1512</v>
      </c>
      <c r="E523" s="4" t="s">
        <v>842</v>
      </c>
      <c r="F523" t="s">
        <v>1224</v>
      </c>
      <c r="G523">
        <v>0.85543829202651978</v>
      </c>
      <c r="H523" t="s">
        <v>196</v>
      </c>
      <c r="I523">
        <v>0.75044983625411987</v>
      </c>
      <c r="J523" t="s">
        <v>188</v>
      </c>
      <c r="K523" s="4">
        <v>0.70770663022994995</v>
      </c>
      <c r="L523" t="s">
        <v>813</v>
      </c>
      <c r="M523">
        <v>0.83129219999999981</v>
      </c>
      <c r="N523" t="s">
        <v>303</v>
      </c>
      <c r="O523">
        <v>3.3231190000000001E-2</v>
      </c>
      <c r="P523" t="s">
        <v>829</v>
      </c>
      <c r="Q523" s="4">
        <v>2.8269608000000002E-2</v>
      </c>
      <c r="R523" t="s">
        <v>334</v>
      </c>
      <c r="S523">
        <v>0.44723376999999997</v>
      </c>
      <c r="T523" t="s">
        <v>303</v>
      </c>
      <c r="U523">
        <v>0.16415150000000001</v>
      </c>
      <c r="V523" t="s">
        <v>443</v>
      </c>
      <c r="W523">
        <v>7.8792749999999995E-2</v>
      </c>
    </row>
    <row r="524" spans="1:23" x14ac:dyDescent="0.25">
      <c r="A524" s="3" t="str">
        <f>HYPERLINK("http://ids.si.edu/ids/deliveryService?id=NMAH-ET2016-09137","NMAH-ET2016-09137")</f>
        <v>NMAH-ET2016-09137</v>
      </c>
      <c r="B524" s="3" t="s">
        <v>1602</v>
      </c>
      <c r="C524" s="3">
        <v>1821263</v>
      </c>
      <c r="D524" s="3" t="s">
        <v>1512</v>
      </c>
      <c r="E524" s="4" t="s">
        <v>125</v>
      </c>
      <c r="F524" t="s">
        <v>61</v>
      </c>
      <c r="G524">
        <v>0.88115477561950684</v>
      </c>
      <c r="H524" t="s">
        <v>112</v>
      </c>
      <c r="I524">
        <v>0.68572378158569336</v>
      </c>
      <c r="J524" t="s">
        <v>220</v>
      </c>
      <c r="K524" s="4">
        <v>0.50960689783096313</v>
      </c>
      <c r="L524" t="s">
        <v>29</v>
      </c>
      <c r="M524">
        <v>0.95055640000000008</v>
      </c>
      <c r="N524" t="s">
        <v>77</v>
      </c>
      <c r="O524">
        <v>1.2450116000000001E-2</v>
      </c>
      <c r="P524" t="s">
        <v>222</v>
      </c>
      <c r="Q524" s="4">
        <v>4.0034190000000002E-3</v>
      </c>
      <c r="R524" t="s">
        <v>29</v>
      </c>
      <c r="S524">
        <v>0.30727965000000002</v>
      </c>
      <c r="T524" t="s">
        <v>77</v>
      </c>
      <c r="U524">
        <v>8.7338239999999998E-2</v>
      </c>
      <c r="V524" t="s">
        <v>222</v>
      </c>
      <c r="W524">
        <v>2.8578024E-2</v>
      </c>
    </row>
    <row r="525" spans="1:23" x14ac:dyDescent="0.25">
      <c r="A525" s="3" t="str">
        <f>HYPERLINK("http://ids.si.edu/ids/deliveryService?id=NMAH-ET2016-05684","NMAH-ET2016-05684")</f>
        <v>NMAH-ET2016-05684</v>
      </c>
      <c r="B525" s="3" t="s">
        <v>1603</v>
      </c>
      <c r="C525" s="3">
        <v>495238</v>
      </c>
      <c r="D525" s="3" t="s">
        <v>1512</v>
      </c>
      <c r="E525" s="4" t="s">
        <v>1604</v>
      </c>
      <c r="F525" t="s">
        <v>1605</v>
      </c>
      <c r="G525">
        <v>0.93281650543212891</v>
      </c>
      <c r="H525" t="s">
        <v>1124</v>
      </c>
      <c r="I525">
        <v>0.91335499286651611</v>
      </c>
      <c r="J525" t="s">
        <v>1606</v>
      </c>
      <c r="K525" s="4">
        <v>0.86413168907165527</v>
      </c>
      <c r="L525" t="s">
        <v>184</v>
      </c>
      <c r="M525">
        <v>0.18235543000000001</v>
      </c>
      <c r="N525" t="s">
        <v>152</v>
      </c>
      <c r="O525">
        <v>0.17962708999999999</v>
      </c>
      <c r="P525" t="s">
        <v>79</v>
      </c>
      <c r="Q525" s="4">
        <v>5.6831617000000001E-2</v>
      </c>
      <c r="R525" t="s">
        <v>152</v>
      </c>
      <c r="S525">
        <v>0.40311380000000002</v>
      </c>
      <c r="T525" t="s">
        <v>184</v>
      </c>
      <c r="U525">
        <v>0.26360392999999999</v>
      </c>
      <c r="V525" t="s">
        <v>148</v>
      </c>
      <c r="W525">
        <v>0.13033581999999999</v>
      </c>
    </row>
    <row r="526" spans="1:23" x14ac:dyDescent="0.25">
      <c r="A526" s="3" t="str">
        <f>HYPERLINK("http://ids.si.edu/ids/deliveryService?id=NMAH-RWS2015-04606","NMAH-RWS2015-04606")</f>
        <v>NMAH-RWS2015-04606</v>
      </c>
      <c r="B526" s="3" t="s">
        <v>1607</v>
      </c>
      <c r="C526" s="3">
        <v>503264</v>
      </c>
      <c r="D526" s="3" t="s">
        <v>1512</v>
      </c>
      <c r="E526" s="4" t="s">
        <v>1182</v>
      </c>
      <c r="F526" t="s">
        <v>62</v>
      </c>
      <c r="G526">
        <v>0.81782513856887817</v>
      </c>
      <c r="H526" t="s">
        <v>264</v>
      </c>
      <c r="I526">
        <v>0.75720220804214478</v>
      </c>
      <c r="J526" t="s">
        <v>1409</v>
      </c>
      <c r="K526" s="4">
        <v>0.68135416507720947</v>
      </c>
      <c r="L526" t="s">
        <v>65</v>
      </c>
      <c r="M526">
        <v>0.54108893999999996</v>
      </c>
      <c r="N526" t="s">
        <v>67</v>
      </c>
      <c r="O526">
        <v>0.19753733000000001</v>
      </c>
      <c r="P526" t="s">
        <v>79</v>
      </c>
      <c r="Q526" s="4">
        <v>3.5124294E-2</v>
      </c>
      <c r="R526" t="s">
        <v>29</v>
      </c>
      <c r="S526">
        <v>0.25907910000000001</v>
      </c>
      <c r="T526" t="s">
        <v>451</v>
      </c>
      <c r="U526">
        <v>0.16226445</v>
      </c>
      <c r="V526" t="s">
        <v>129</v>
      </c>
      <c r="W526">
        <v>0.15184341000000001</v>
      </c>
    </row>
    <row r="527" spans="1:23" x14ac:dyDescent="0.25">
      <c r="A527" s="3" t="str">
        <f>HYPERLINK("http://ids.si.edu/ids/deliveryService?id=NMAH-RWS2012-04593","NMAH-RWS2012-04593")</f>
        <v>NMAH-RWS2012-04593</v>
      </c>
      <c r="B527" s="3" t="s">
        <v>1608</v>
      </c>
      <c r="C527" s="3">
        <v>513430</v>
      </c>
      <c r="D527" s="3" t="s">
        <v>1512</v>
      </c>
      <c r="E527" s="4" t="s">
        <v>1609</v>
      </c>
      <c r="F527" t="s">
        <v>188</v>
      </c>
      <c r="G527">
        <v>0.54580080509185791</v>
      </c>
      <c r="L527" t="s">
        <v>83</v>
      </c>
      <c r="M527">
        <v>0.29860019999999998</v>
      </c>
      <c r="N527" t="s">
        <v>35</v>
      </c>
      <c r="O527">
        <v>0.25747304999999998</v>
      </c>
      <c r="P527" t="s">
        <v>87</v>
      </c>
      <c r="Q527" s="4">
        <v>6.4862034999999998E-2</v>
      </c>
      <c r="R527" t="s">
        <v>83</v>
      </c>
      <c r="S527">
        <v>0.23502176</v>
      </c>
      <c r="T527" t="s">
        <v>87</v>
      </c>
      <c r="U527">
        <v>0.21295168</v>
      </c>
      <c r="V527" t="s">
        <v>175</v>
      </c>
      <c r="W527">
        <v>6.1560905999999999E-2</v>
      </c>
    </row>
    <row r="528" spans="1:23" x14ac:dyDescent="0.25">
      <c r="A528" s="3" t="str">
        <f>HYPERLINK("http://ids.si.edu/ids/deliveryService?id=NMAH-RWS2015-06620","NMAH-RWS2015-06620")</f>
        <v>NMAH-RWS2015-06620</v>
      </c>
      <c r="B528" s="3" t="s">
        <v>1610</v>
      </c>
      <c r="C528" s="3">
        <v>502045</v>
      </c>
      <c r="D528" s="3" t="s">
        <v>1512</v>
      </c>
      <c r="E528" s="4" t="s">
        <v>125</v>
      </c>
      <c r="F528" t="s">
        <v>61</v>
      </c>
      <c r="G528">
        <v>0.95408415794372559</v>
      </c>
      <c r="H528" t="s">
        <v>1083</v>
      </c>
      <c r="I528">
        <v>0.87974190711975098</v>
      </c>
      <c r="J528" t="s">
        <v>112</v>
      </c>
      <c r="K528" s="4">
        <v>0.86674314737319946</v>
      </c>
      <c r="L528" t="s">
        <v>209</v>
      </c>
      <c r="M528">
        <v>0.36467987000000002</v>
      </c>
      <c r="N528" t="s">
        <v>29</v>
      </c>
      <c r="O528">
        <v>0.18898334</v>
      </c>
      <c r="P528" t="s">
        <v>65</v>
      </c>
      <c r="Q528" s="4">
        <v>0.16989265000000001</v>
      </c>
      <c r="R528" t="s">
        <v>29</v>
      </c>
      <c r="S528">
        <v>0.17191360999999999</v>
      </c>
      <c r="T528" t="s">
        <v>66</v>
      </c>
      <c r="U528">
        <v>0.13411877999999999</v>
      </c>
      <c r="V528" t="s">
        <v>141</v>
      </c>
      <c r="W528">
        <v>3.1480095999999999E-2</v>
      </c>
    </row>
    <row r="529" spans="1:23" x14ac:dyDescent="0.25">
      <c r="A529" s="3" t="str">
        <f>HYPERLINK("http://ids.si.edu/ids/deliveryService?id=NMAH-ET2015-09177","NMAH-ET2015-09177")</f>
        <v>NMAH-ET2015-09177</v>
      </c>
      <c r="B529" s="3" t="s">
        <v>1611</v>
      </c>
      <c r="C529" s="3">
        <v>1691974</v>
      </c>
      <c r="D529" s="3" t="s">
        <v>1512</v>
      </c>
      <c r="E529" s="4" t="s">
        <v>1088</v>
      </c>
      <c r="F529" t="s">
        <v>603</v>
      </c>
      <c r="G529">
        <v>0.90684622526168823</v>
      </c>
      <c r="H529" t="s">
        <v>917</v>
      </c>
      <c r="I529">
        <v>0.61566632986068726</v>
      </c>
      <c r="J529" t="s">
        <v>921</v>
      </c>
      <c r="K529" s="4">
        <v>0.60057735443115234</v>
      </c>
      <c r="L529" t="s">
        <v>821</v>
      </c>
      <c r="M529">
        <v>0.32021955000000002</v>
      </c>
      <c r="N529" t="s">
        <v>107</v>
      </c>
      <c r="O529">
        <v>0.17809530000000001</v>
      </c>
      <c r="P529" t="s">
        <v>1067</v>
      </c>
      <c r="Q529" s="4">
        <v>9.2557249999999994E-2</v>
      </c>
      <c r="R529" t="s">
        <v>1176</v>
      </c>
      <c r="S529">
        <v>0.18594973000000001</v>
      </c>
      <c r="T529" t="s">
        <v>362</v>
      </c>
      <c r="U529">
        <v>8.0428479999999997E-2</v>
      </c>
      <c r="V529" t="s">
        <v>821</v>
      </c>
      <c r="W529">
        <v>7.4586059999999996E-2</v>
      </c>
    </row>
    <row r="530" spans="1:23" x14ac:dyDescent="0.25">
      <c r="A530" s="3" t="str">
        <f>HYPERLINK("http://ids.si.edu/ids/deliveryService?id=NMAH-ET2016-12169","NMAH-ET2016-12169")</f>
        <v>NMAH-ET2016-12169</v>
      </c>
      <c r="B530" s="3" t="s">
        <v>1612</v>
      </c>
      <c r="C530" s="3">
        <v>491883</v>
      </c>
      <c r="D530" s="3" t="s">
        <v>1512</v>
      </c>
      <c r="E530" s="4" t="s">
        <v>1519</v>
      </c>
      <c r="F530" t="s">
        <v>1613</v>
      </c>
      <c r="G530">
        <v>0.64528298377990723</v>
      </c>
      <c r="H530" t="s">
        <v>196</v>
      </c>
      <c r="I530">
        <v>0.55351418256759644</v>
      </c>
      <c r="J530" t="s">
        <v>188</v>
      </c>
      <c r="K530" s="4">
        <v>0.54580080509185791</v>
      </c>
      <c r="L530" t="s">
        <v>31</v>
      </c>
      <c r="M530">
        <v>0.3559562</v>
      </c>
      <c r="N530" t="s">
        <v>98</v>
      </c>
      <c r="O530">
        <v>8.5812524000000001E-2</v>
      </c>
      <c r="P530" t="s">
        <v>813</v>
      </c>
      <c r="Q530" s="4">
        <v>6.9764090000000001E-2</v>
      </c>
      <c r="R530" t="s">
        <v>150</v>
      </c>
      <c r="S530">
        <v>0.112673625</v>
      </c>
      <c r="T530" t="s">
        <v>31</v>
      </c>
      <c r="U530">
        <v>8.470221E-2</v>
      </c>
      <c r="V530" t="s">
        <v>261</v>
      </c>
      <c r="W530">
        <v>8.1746739999999998E-2</v>
      </c>
    </row>
    <row r="531" spans="1:23" x14ac:dyDescent="0.25">
      <c r="A531" s="3" t="str">
        <f>HYPERLINK("http://ids.si.edu/ids/deliveryService?id=NMAH-AHB2014q013099","NMAH-AHB2014q013099")</f>
        <v>NMAH-AHB2014q013099</v>
      </c>
      <c r="B531" s="3" t="s">
        <v>1614</v>
      </c>
      <c r="C531" s="3">
        <v>529107</v>
      </c>
      <c r="D531" s="3" t="s">
        <v>1512</v>
      </c>
      <c r="E531" s="4" t="s">
        <v>606</v>
      </c>
      <c r="F531" t="s">
        <v>447</v>
      </c>
      <c r="G531">
        <v>0.55715835094451904</v>
      </c>
      <c r="L531" t="s">
        <v>65</v>
      </c>
      <c r="M531">
        <v>0.64052940000000003</v>
      </c>
      <c r="N531" t="s">
        <v>66</v>
      </c>
      <c r="O531">
        <v>0.23445472000000001</v>
      </c>
      <c r="P531" t="s">
        <v>29</v>
      </c>
      <c r="Q531" s="4">
        <v>4.0526893000000001E-2</v>
      </c>
      <c r="R531" t="s">
        <v>66</v>
      </c>
      <c r="S531">
        <v>0.4651845</v>
      </c>
      <c r="T531" t="s">
        <v>65</v>
      </c>
      <c r="U531">
        <v>0.45878732</v>
      </c>
      <c r="V531" t="s">
        <v>426</v>
      </c>
      <c r="W531">
        <v>2.7821377000000001E-2</v>
      </c>
    </row>
    <row r="532" spans="1:23" x14ac:dyDescent="0.25">
      <c r="A532" s="3" t="str">
        <f>HYPERLINK("http://ids.si.edu/ids/deliveryService?id=NMAH-ET2014-00750","NMAH-ET2014-00750")</f>
        <v>NMAH-ET2014-00750</v>
      </c>
      <c r="B532" s="3" t="s">
        <v>1615</v>
      </c>
      <c r="C532" s="3">
        <v>1084622</v>
      </c>
      <c r="D532" s="3" t="s">
        <v>1512</v>
      </c>
      <c r="E532" s="4" t="s">
        <v>1543</v>
      </c>
      <c r="F532" t="s">
        <v>61</v>
      </c>
      <c r="G532">
        <v>0.89013081789016724</v>
      </c>
      <c r="H532" t="s">
        <v>112</v>
      </c>
      <c r="I532">
        <v>0.80401664972305298</v>
      </c>
      <c r="J532" t="s">
        <v>1525</v>
      </c>
      <c r="K532" s="4">
        <v>0.54388272762298584</v>
      </c>
      <c r="L532" t="s">
        <v>63</v>
      </c>
      <c r="M532">
        <v>0.14620398000000001</v>
      </c>
      <c r="N532" t="s">
        <v>66</v>
      </c>
      <c r="O532">
        <v>9.9916050000000006E-2</v>
      </c>
      <c r="P532" t="s">
        <v>222</v>
      </c>
      <c r="Q532" s="4">
        <v>8.0008419999999997E-2</v>
      </c>
      <c r="R532" t="s">
        <v>66</v>
      </c>
      <c r="S532">
        <v>0.49571759999999992</v>
      </c>
      <c r="T532" t="s">
        <v>65</v>
      </c>
      <c r="U532">
        <v>7.2891444E-2</v>
      </c>
      <c r="V532" t="s">
        <v>79</v>
      </c>
      <c r="W532">
        <v>6.9702349999999996E-2</v>
      </c>
    </row>
    <row r="533" spans="1:23" x14ac:dyDescent="0.25">
      <c r="A533" s="3" t="str">
        <f>HYPERLINK("http://ids.si.edu/ids/deliveryService?id=NMAH-AHB2016q013052","NMAH-AHB2016q013052")</f>
        <v>NMAH-AHB2016q013052</v>
      </c>
      <c r="B533" s="3" t="s">
        <v>1616</v>
      </c>
      <c r="C533" s="3">
        <v>535101</v>
      </c>
      <c r="D533" s="3" t="s">
        <v>1512</v>
      </c>
      <c r="E533" s="4" t="s">
        <v>125</v>
      </c>
      <c r="F533" t="s">
        <v>112</v>
      </c>
      <c r="G533">
        <v>0.84902584552764893</v>
      </c>
      <c r="H533" t="s">
        <v>1586</v>
      </c>
      <c r="I533">
        <v>0.81750023365020752</v>
      </c>
      <c r="J533" t="s">
        <v>1513</v>
      </c>
      <c r="K533" s="4">
        <v>0.7406008243560791</v>
      </c>
      <c r="L533" t="s">
        <v>253</v>
      </c>
      <c r="M533">
        <v>0.36986974</v>
      </c>
      <c r="N533" t="s">
        <v>405</v>
      </c>
      <c r="O533">
        <v>0.21524103999999999</v>
      </c>
      <c r="P533" t="s">
        <v>644</v>
      </c>
      <c r="Q533" s="4">
        <v>0.12775323999999999</v>
      </c>
      <c r="R533" t="s">
        <v>253</v>
      </c>
      <c r="S533">
        <v>0.50950209999999996</v>
      </c>
      <c r="T533" t="s">
        <v>405</v>
      </c>
      <c r="U533">
        <v>0.18275533999999999</v>
      </c>
      <c r="V533" t="s">
        <v>689</v>
      </c>
      <c r="W533">
        <v>7.4630539999999995E-2</v>
      </c>
    </row>
    <row r="534" spans="1:23" x14ac:dyDescent="0.25">
      <c r="A534" s="3" t="str">
        <f>HYPERLINK("http://ids.si.edu/ids/deliveryService?id=SIA-97-8519","SIA-97-8519")</f>
        <v>SIA-97-8519</v>
      </c>
      <c r="B534" s="3" t="s">
        <v>1617</v>
      </c>
      <c r="C534" s="3">
        <v>514188</v>
      </c>
      <c r="D534" s="3" t="s">
        <v>1512</v>
      </c>
      <c r="E534" s="4" t="s">
        <v>125</v>
      </c>
      <c r="F534" t="s">
        <v>126</v>
      </c>
      <c r="G534">
        <v>0.85996150970458984</v>
      </c>
      <c r="H534" t="s">
        <v>449</v>
      </c>
      <c r="I534">
        <v>0.58121716976165771</v>
      </c>
      <c r="J534" t="s">
        <v>128</v>
      </c>
      <c r="K534" s="4">
        <v>0.57243633270263672</v>
      </c>
      <c r="L534" t="s">
        <v>29</v>
      </c>
      <c r="M534">
        <v>0.68590059999999997</v>
      </c>
      <c r="N534" t="s">
        <v>65</v>
      </c>
      <c r="O534">
        <v>0.15319186000000001</v>
      </c>
      <c r="P534" t="s">
        <v>129</v>
      </c>
      <c r="Q534" s="4">
        <v>3.8140092E-2</v>
      </c>
      <c r="R534" t="s">
        <v>65</v>
      </c>
      <c r="S534">
        <v>0.83755849999999987</v>
      </c>
      <c r="T534" t="s">
        <v>29</v>
      </c>
      <c r="U534">
        <v>0.10213511</v>
      </c>
      <c r="V534" t="s">
        <v>129</v>
      </c>
      <c r="W534">
        <v>2.7266809999999999E-2</v>
      </c>
    </row>
    <row r="535" spans="1:23" x14ac:dyDescent="0.25">
      <c r="A535" s="3" t="str">
        <f>HYPERLINK("http://ids.si.edu/ids/deliveryService?id=NMAH-2008-6259-000001","NMAH-2008-6259-000001")</f>
        <v>NMAH-2008-6259-000001</v>
      </c>
      <c r="B535" s="3" t="s">
        <v>1618</v>
      </c>
      <c r="C535" s="3">
        <v>529580</v>
      </c>
      <c r="D535" s="3" t="s">
        <v>1512</v>
      </c>
      <c r="E535" s="4" t="s">
        <v>1619</v>
      </c>
      <c r="F535" t="s">
        <v>220</v>
      </c>
      <c r="G535">
        <v>0.89269149303436279</v>
      </c>
      <c r="H535" t="s">
        <v>447</v>
      </c>
      <c r="I535">
        <v>0.79511886835098267</v>
      </c>
      <c r="J535" t="s">
        <v>525</v>
      </c>
      <c r="K535" s="4">
        <v>0.72415834665298462</v>
      </c>
      <c r="L535" t="s">
        <v>65</v>
      </c>
      <c r="M535">
        <v>0.59596499999999997</v>
      </c>
      <c r="N535" t="s">
        <v>66</v>
      </c>
      <c r="O535">
        <v>0.15787949000000001</v>
      </c>
      <c r="P535" t="s">
        <v>79</v>
      </c>
      <c r="Q535" s="4">
        <v>0.10351194399999999</v>
      </c>
      <c r="R535" t="s">
        <v>66</v>
      </c>
      <c r="S535">
        <v>0.38859919999999998</v>
      </c>
      <c r="T535" t="s">
        <v>65</v>
      </c>
      <c r="U535">
        <v>0.22359386000000001</v>
      </c>
      <c r="V535" t="s">
        <v>79</v>
      </c>
      <c r="W535">
        <v>0.123491555</v>
      </c>
    </row>
    <row r="536" spans="1:23" x14ac:dyDescent="0.25">
      <c r="A536" s="3" t="str">
        <f>HYPERLINK("http://ids.si.edu/ids/deliveryService?id=NMAH-ET2014-00754","NMAH-ET2014-00754")</f>
        <v>NMAH-ET2014-00754</v>
      </c>
      <c r="B536" s="3" t="s">
        <v>1620</v>
      </c>
      <c r="C536" s="3">
        <v>509530</v>
      </c>
      <c r="D536" s="3" t="s">
        <v>1512</v>
      </c>
      <c r="E536" s="4" t="s">
        <v>1621</v>
      </c>
      <c r="F536" t="s">
        <v>61</v>
      </c>
      <c r="G536">
        <v>0.92879420518875122</v>
      </c>
      <c r="H536" t="s">
        <v>220</v>
      </c>
      <c r="I536">
        <v>0.81950825452804565</v>
      </c>
      <c r="J536" t="s">
        <v>447</v>
      </c>
      <c r="K536" s="4">
        <v>0.65954881906509399</v>
      </c>
      <c r="L536" t="s">
        <v>65</v>
      </c>
      <c r="M536">
        <v>0.81250619999999996</v>
      </c>
      <c r="N536" t="s">
        <v>426</v>
      </c>
      <c r="O536">
        <v>5.8351174000000013E-2</v>
      </c>
      <c r="P536" t="s">
        <v>79</v>
      </c>
      <c r="Q536" s="4">
        <v>4.1424120000000002E-2</v>
      </c>
      <c r="R536" t="s">
        <v>77</v>
      </c>
      <c r="S536">
        <v>0.34227945999999998</v>
      </c>
      <c r="T536" t="s">
        <v>65</v>
      </c>
      <c r="U536">
        <v>0.31402619999999998</v>
      </c>
      <c r="V536" t="s">
        <v>66</v>
      </c>
      <c r="W536">
        <v>8.9624809999999999E-2</v>
      </c>
    </row>
    <row r="537" spans="1:23" x14ac:dyDescent="0.25">
      <c r="A537" s="3" t="str">
        <f>HYPERLINK("http://ids.si.edu/ids/deliveryService?id=NMAH-AHB2017q021006","NMAH-AHB2017q021006")</f>
        <v>NMAH-AHB2017q021006</v>
      </c>
      <c r="B537" s="3" t="s">
        <v>1622</v>
      </c>
      <c r="C537" s="3">
        <v>1760069</v>
      </c>
      <c r="D537" s="3" t="s">
        <v>1512</v>
      </c>
      <c r="E537" s="4" t="s">
        <v>842</v>
      </c>
      <c r="F537" t="s">
        <v>1623</v>
      </c>
      <c r="G537">
        <v>0.91302740573883057</v>
      </c>
      <c r="H537" t="s">
        <v>61</v>
      </c>
      <c r="I537">
        <v>0.89013081789016724</v>
      </c>
      <c r="J537" t="s">
        <v>196</v>
      </c>
      <c r="K537" s="4">
        <v>0.83017796277999878</v>
      </c>
      <c r="L537" t="s">
        <v>570</v>
      </c>
      <c r="M537">
        <v>5.9549928000000002E-2</v>
      </c>
      <c r="N537" t="s">
        <v>668</v>
      </c>
      <c r="O537">
        <v>4.8244413E-2</v>
      </c>
      <c r="P537" t="s">
        <v>572</v>
      </c>
      <c r="Q537" s="4">
        <v>4.0399867999999999E-2</v>
      </c>
      <c r="R537" t="s">
        <v>303</v>
      </c>
      <c r="S537">
        <v>0.20468253</v>
      </c>
      <c r="T537" t="s">
        <v>190</v>
      </c>
      <c r="U537">
        <v>0.14688735</v>
      </c>
      <c r="V537" t="s">
        <v>813</v>
      </c>
      <c r="W537">
        <v>0.13440232999999999</v>
      </c>
    </row>
    <row r="538" spans="1:23" x14ac:dyDescent="0.25">
      <c r="A538" s="3" t="str">
        <f>HYPERLINK("http://ids.si.edu/ids/deliveryService?id=NMAH-AHB2016q013018","NMAH-AHB2016q013018")</f>
        <v>NMAH-AHB2016q013018</v>
      </c>
      <c r="B538" s="3" t="s">
        <v>1624</v>
      </c>
      <c r="C538" s="3">
        <v>530071</v>
      </c>
      <c r="D538" s="3" t="s">
        <v>1512</v>
      </c>
      <c r="E538" s="4" t="s">
        <v>1543</v>
      </c>
      <c r="F538" t="s">
        <v>61</v>
      </c>
      <c r="G538">
        <v>0.90306717157363892</v>
      </c>
      <c r="H538" t="s">
        <v>447</v>
      </c>
      <c r="I538">
        <v>0.66673874855041504</v>
      </c>
      <c r="J538" t="s">
        <v>220</v>
      </c>
      <c r="K538" s="4">
        <v>0.59234714508056641</v>
      </c>
      <c r="L538" t="s">
        <v>65</v>
      </c>
      <c r="M538">
        <v>0.54672700000000007</v>
      </c>
      <c r="N538" t="s">
        <v>66</v>
      </c>
      <c r="O538">
        <v>0.11916990600000001</v>
      </c>
      <c r="P538" t="s">
        <v>209</v>
      </c>
      <c r="Q538" s="4">
        <v>8.4253770000000006E-2</v>
      </c>
      <c r="R538" t="s">
        <v>65</v>
      </c>
      <c r="S538">
        <v>0.19347449999999999</v>
      </c>
      <c r="T538" t="s">
        <v>66</v>
      </c>
      <c r="U538">
        <v>0.18327741</v>
      </c>
      <c r="V538" t="s">
        <v>209</v>
      </c>
      <c r="W538">
        <v>9.6078806000000003E-2</v>
      </c>
    </row>
    <row r="539" spans="1:23" x14ac:dyDescent="0.25">
      <c r="A539" s="3" t="str">
        <f>HYPERLINK("http://ids.si.edu/ids/deliveryService?id=NMAH-ET2016-05681","NMAH-ET2016-05681")</f>
        <v>NMAH-ET2016-05681</v>
      </c>
      <c r="B539" s="3" t="s">
        <v>1625</v>
      </c>
      <c r="C539" s="3">
        <v>529668</v>
      </c>
      <c r="D539" s="3" t="s">
        <v>1512</v>
      </c>
      <c r="E539" s="4" t="s">
        <v>1028</v>
      </c>
      <c r="F539" t="s">
        <v>1124</v>
      </c>
      <c r="G539">
        <v>0.99431812763214111</v>
      </c>
      <c r="H539" t="s">
        <v>1529</v>
      </c>
      <c r="I539">
        <v>0.98841375112533569</v>
      </c>
      <c r="J539" t="s">
        <v>1626</v>
      </c>
      <c r="K539" s="4">
        <v>0.9462130069732666</v>
      </c>
      <c r="L539" t="s">
        <v>358</v>
      </c>
      <c r="M539">
        <v>0.59550554</v>
      </c>
      <c r="N539" t="s">
        <v>1028</v>
      </c>
      <c r="O539">
        <v>0.25681445000000003</v>
      </c>
      <c r="P539" t="s">
        <v>619</v>
      </c>
      <c r="Q539" s="4">
        <v>3.5182890000000001E-2</v>
      </c>
      <c r="R539" t="s">
        <v>358</v>
      </c>
      <c r="S539">
        <v>0.88944299999999998</v>
      </c>
      <c r="T539" t="s">
        <v>1028</v>
      </c>
      <c r="U539">
        <v>3.3034590000000003E-2</v>
      </c>
      <c r="V539" t="s">
        <v>1627</v>
      </c>
      <c r="W539">
        <v>3.2959975000000002E-2</v>
      </c>
    </row>
    <row r="540" spans="1:23" x14ac:dyDescent="0.25">
      <c r="A540" s="3" t="str">
        <f>HYPERLINK("http://ids.si.edu/ids/deliveryService?id=NMAH-AHB2017q021051","NMAH-AHB2017q021051")</f>
        <v>NMAH-AHB2017q021051</v>
      </c>
      <c r="B540" s="3" t="s">
        <v>1628</v>
      </c>
      <c r="C540" s="3">
        <v>1250335</v>
      </c>
      <c r="D540" s="3" t="s">
        <v>1512</v>
      </c>
      <c r="E540" s="4" t="s">
        <v>842</v>
      </c>
      <c r="F540" t="s">
        <v>1224</v>
      </c>
      <c r="G540">
        <v>0.88357281684875488</v>
      </c>
      <c r="H540" t="s">
        <v>1254</v>
      </c>
      <c r="I540">
        <v>0.8656381368637085</v>
      </c>
      <c r="J540" t="s">
        <v>463</v>
      </c>
      <c r="K540" s="4">
        <v>0.82750785350799561</v>
      </c>
      <c r="L540" t="s">
        <v>273</v>
      </c>
      <c r="M540">
        <v>0.35826019999999997</v>
      </c>
      <c r="N540" t="s">
        <v>570</v>
      </c>
      <c r="O540">
        <v>0.13489798</v>
      </c>
      <c r="P540" t="s">
        <v>369</v>
      </c>
      <c r="Q540" s="4">
        <v>7.6841809999999997E-2</v>
      </c>
      <c r="R540" t="s">
        <v>303</v>
      </c>
      <c r="S540">
        <v>0.49689534000000002</v>
      </c>
      <c r="T540" t="s">
        <v>813</v>
      </c>
      <c r="U540">
        <v>0.1047592</v>
      </c>
      <c r="V540" t="s">
        <v>190</v>
      </c>
      <c r="W540">
        <v>8.2138896000000003E-2</v>
      </c>
    </row>
    <row r="541" spans="1:23" x14ac:dyDescent="0.25">
      <c r="A541" s="3" t="str">
        <f>HYPERLINK("http://ids.si.edu/ids/deliveryService?id=NMAH-ET2013-40233","NMAH-ET2013-40233")</f>
        <v>NMAH-ET2013-40233</v>
      </c>
      <c r="B541" s="3" t="s">
        <v>1629</v>
      </c>
      <c r="C541" s="3">
        <v>1066423</v>
      </c>
      <c r="D541" s="3" t="s">
        <v>1512</v>
      </c>
      <c r="E541" s="4" t="s">
        <v>1553</v>
      </c>
      <c r="F541" t="s">
        <v>947</v>
      </c>
      <c r="G541">
        <v>0.93338984251022339</v>
      </c>
      <c r="H541" t="s">
        <v>1630</v>
      </c>
      <c r="I541">
        <v>0.92404425144195557</v>
      </c>
      <c r="J541" t="s">
        <v>188</v>
      </c>
      <c r="K541" s="4">
        <v>0.92051225900650024</v>
      </c>
      <c r="L541" t="s">
        <v>888</v>
      </c>
      <c r="M541">
        <v>0.33926045999999999</v>
      </c>
      <c r="N541" t="s">
        <v>156</v>
      </c>
      <c r="O541">
        <v>0.18743892000000001</v>
      </c>
      <c r="P541" t="s">
        <v>66</v>
      </c>
      <c r="Q541" s="4">
        <v>7.1607879999999999E-2</v>
      </c>
      <c r="R541" t="s">
        <v>44</v>
      </c>
      <c r="S541">
        <v>0.19002584</v>
      </c>
      <c r="T541" t="s">
        <v>888</v>
      </c>
      <c r="U541">
        <v>0.18969847000000001</v>
      </c>
      <c r="V541" t="s">
        <v>134</v>
      </c>
      <c r="W541">
        <v>8.5071129999999995E-2</v>
      </c>
    </row>
    <row r="542" spans="1:23" x14ac:dyDescent="0.25">
      <c r="A542" s="3" t="str">
        <f>HYPERLINK("http://ids.si.edu/ids/deliveryService?id=NMAH-RWS2015-04609","NMAH-RWS2015-04609")</f>
        <v>NMAH-RWS2015-04609</v>
      </c>
      <c r="B542" s="3" t="s">
        <v>1631</v>
      </c>
      <c r="C542" s="3">
        <v>529340</v>
      </c>
      <c r="D542" s="3" t="s">
        <v>1512</v>
      </c>
      <c r="E542" s="4" t="s">
        <v>125</v>
      </c>
      <c r="F542" t="s">
        <v>126</v>
      </c>
      <c r="G542">
        <v>0.76334238052368164</v>
      </c>
      <c r="H542" t="s">
        <v>208</v>
      </c>
      <c r="I542">
        <v>0.71515905857086182</v>
      </c>
      <c r="J542" t="s">
        <v>604</v>
      </c>
      <c r="K542" s="4">
        <v>0.69425243139266968</v>
      </c>
      <c r="L542" t="s">
        <v>65</v>
      </c>
      <c r="M542">
        <v>0.51896140000000002</v>
      </c>
      <c r="N542" t="s">
        <v>129</v>
      </c>
      <c r="O542">
        <v>0.11137815</v>
      </c>
      <c r="P542" t="s">
        <v>29</v>
      </c>
      <c r="Q542" s="4">
        <v>0.10927745</v>
      </c>
      <c r="R542" t="s">
        <v>129</v>
      </c>
      <c r="S542">
        <v>0.25059009999999998</v>
      </c>
      <c r="T542" t="s">
        <v>29</v>
      </c>
      <c r="U542">
        <v>0.21956049</v>
      </c>
      <c r="V542" t="s">
        <v>65</v>
      </c>
      <c r="W542">
        <v>0.16126229</v>
      </c>
    </row>
    <row r="543" spans="1:23" x14ac:dyDescent="0.25">
      <c r="A543" s="3" t="str">
        <f>HYPERLINK("http://ids.si.edu/ids/deliveryService?id=NMAH-RWS2014-02454","NMAH-RWS2014-02454")</f>
        <v>NMAH-RWS2014-02454</v>
      </c>
      <c r="B543" s="3" t="s">
        <v>1632</v>
      </c>
      <c r="C543" s="3">
        <v>540426</v>
      </c>
      <c r="D543" s="3" t="s">
        <v>1512</v>
      </c>
      <c r="E543" s="4" t="s">
        <v>125</v>
      </c>
      <c r="F543" t="s">
        <v>112</v>
      </c>
      <c r="G543">
        <v>0.97899997234344482</v>
      </c>
      <c r="H543" t="s">
        <v>61</v>
      </c>
      <c r="I543">
        <v>0.95236456394195557</v>
      </c>
      <c r="J543" t="s">
        <v>1586</v>
      </c>
      <c r="K543" s="4">
        <v>0.74367338418960571</v>
      </c>
      <c r="L543" t="s">
        <v>65</v>
      </c>
      <c r="M543">
        <v>0.95473899999999989</v>
      </c>
      <c r="N543" t="s">
        <v>405</v>
      </c>
      <c r="O543">
        <v>3.0679002E-2</v>
      </c>
      <c r="P543" t="s">
        <v>1633</v>
      </c>
      <c r="Q543" s="4">
        <v>3.5487148E-3</v>
      </c>
      <c r="R543" t="s">
        <v>65</v>
      </c>
      <c r="S543">
        <v>0.82783340000000005</v>
      </c>
      <c r="T543" t="s">
        <v>405</v>
      </c>
      <c r="U543">
        <v>7.2998859999999999E-2</v>
      </c>
      <c r="V543" t="s">
        <v>129</v>
      </c>
      <c r="W543">
        <v>7.7615706000000008E-3</v>
      </c>
    </row>
    <row r="544" spans="1:23" x14ac:dyDescent="0.25">
      <c r="A544" s="3" t="str">
        <f>HYPERLINK("http://ids.si.edu/ids/deliveryService?id=NMAH-AHB2017q021029","NMAH-AHB2017q021029")</f>
        <v>NMAH-AHB2017q021029</v>
      </c>
      <c r="B544" s="3" t="s">
        <v>1634</v>
      </c>
      <c r="C544" s="3">
        <v>531670</v>
      </c>
      <c r="D544" s="3" t="s">
        <v>1512</v>
      </c>
      <c r="E544" s="4" t="s">
        <v>842</v>
      </c>
      <c r="F544" t="s">
        <v>61</v>
      </c>
      <c r="G544">
        <v>0.85248786211013794</v>
      </c>
      <c r="H544" t="s">
        <v>1224</v>
      </c>
      <c r="I544">
        <v>0.74451768398284912</v>
      </c>
      <c r="J544" t="s">
        <v>112</v>
      </c>
      <c r="K544" s="4">
        <v>0.68572378158569336</v>
      </c>
      <c r="L544" t="s">
        <v>334</v>
      </c>
      <c r="M544">
        <v>9.2933909999999995E-2</v>
      </c>
      <c r="N544" t="s">
        <v>813</v>
      </c>
      <c r="O544">
        <v>7.9006170000000001E-2</v>
      </c>
      <c r="P544" t="s">
        <v>969</v>
      </c>
      <c r="Q544" s="4">
        <v>7.1217130000000003E-2</v>
      </c>
      <c r="R544" t="s">
        <v>334</v>
      </c>
      <c r="S544">
        <v>0.15080309</v>
      </c>
      <c r="T544" t="s">
        <v>303</v>
      </c>
      <c r="U544">
        <v>8.0022969999999999E-2</v>
      </c>
      <c r="V544" t="s">
        <v>813</v>
      </c>
      <c r="W544">
        <v>5.2181378E-2</v>
      </c>
    </row>
    <row r="545" spans="1:23" x14ac:dyDescent="0.25">
      <c r="A545" s="3" t="str">
        <f>HYPERLINK("http://ids.si.edu/ids/deliveryService?id=NMAH-RWS2012-04276","NMAH-RWS2012-04276")</f>
        <v>NMAH-RWS2012-04276</v>
      </c>
      <c r="B545" s="3" t="s">
        <v>1635</v>
      </c>
      <c r="C545" s="3">
        <v>523279</v>
      </c>
      <c r="D545" s="3" t="s">
        <v>1512</v>
      </c>
      <c r="E545" s="4" t="s">
        <v>1636</v>
      </c>
      <c r="F545" t="s">
        <v>236</v>
      </c>
      <c r="G545">
        <v>0.96698260307312012</v>
      </c>
      <c r="H545" t="s">
        <v>1637</v>
      </c>
      <c r="I545">
        <v>0.84840863943099976</v>
      </c>
      <c r="J545" t="s">
        <v>1638</v>
      </c>
      <c r="K545" s="4">
        <v>0.81328487396240234</v>
      </c>
      <c r="L545" t="s">
        <v>203</v>
      </c>
      <c r="M545">
        <v>0.67206913000000001</v>
      </c>
      <c r="N545" t="s">
        <v>1639</v>
      </c>
      <c r="O545">
        <v>0.13253972</v>
      </c>
      <c r="P545" t="s">
        <v>239</v>
      </c>
      <c r="Q545" s="4">
        <v>5.0324204999999997E-2</v>
      </c>
      <c r="R545" t="s">
        <v>203</v>
      </c>
      <c r="S545">
        <v>0.13310350000000001</v>
      </c>
      <c r="T545" t="s">
        <v>64</v>
      </c>
      <c r="U545">
        <v>7.3632110000000001E-2</v>
      </c>
      <c r="V545" t="s">
        <v>93</v>
      </c>
      <c r="W545">
        <v>5.0545449999999999E-2</v>
      </c>
    </row>
    <row r="546" spans="1:23" x14ac:dyDescent="0.25">
      <c r="A546" s="3" t="str">
        <f>HYPERLINK("http://ids.si.edu/ids/deliveryService?id=NMAH-ET2013-40231","NMAH-ET2013-40231")</f>
        <v>NMAH-ET2013-40231</v>
      </c>
      <c r="B546" s="3" t="s">
        <v>1640</v>
      </c>
      <c r="C546" s="3">
        <v>1066421</v>
      </c>
      <c r="D546" s="3" t="s">
        <v>1512</v>
      </c>
      <c r="E546" s="4" t="s">
        <v>1553</v>
      </c>
      <c r="F546" t="s">
        <v>956</v>
      </c>
      <c r="G546">
        <v>0.9496607780456543</v>
      </c>
      <c r="H546" t="s">
        <v>947</v>
      </c>
      <c r="I546">
        <v>0.93338984251022339</v>
      </c>
      <c r="J546" t="s">
        <v>188</v>
      </c>
      <c r="K546" s="4">
        <v>0.93024528026580811</v>
      </c>
      <c r="L546" t="s">
        <v>888</v>
      </c>
      <c r="M546">
        <v>0.98283580000000004</v>
      </c>
      <c r="N546" t="s">
        <v>156</v>
      </c>
      <c r="O546">
        <v>1.0528805E-2</v>
      </c>
      <c r="P546" t="s">
        <v>97</v>
      </c>
      <c r="Q546" s="4">
        <v>5.5722580000000001E-3</v>
      </c>
      <c r="R546" t="s">
        <v>888</v>
      </c>
      <c r="S546">
        <v>0.90407693</v>
      </c>
      <c r="T546" t="s">
        <v>44</v>
      </c>
      <c r="U546">
        <v>5.4765712000000001E-2</v>
      </c>
      <c r="V546" t="s">
        <v>156</v>
      </c>
      <c r="W546">
        <v>1.5801115000000001E-2</v>
      </c>
    </row>
    <row r="547" spans="1:23" x14ac:dyDescent="0.25">
      <c r="A547" s="3" t="str">
        <f>HYPERLINK("http://ids.si.edu/ids/deliveryService?id=NMAH-MAH-30575E-000001","NMAH-MAH-30575E-000001")</f>
        <v>NMAH-MAH-30575E-000001</v>
      </c>
      <c r="B547" s="3" t="s">
        <v>1641</v>
      </c>
      <c r="C547" s="3">
        <v>500284</v>
      </c>
      <c r="D547" s="3" t="s">
        <v>1512</v>
      </c>
      <c r="E547" s="4" t="s">
        <v>1642</v>
      </c>
      <c r="F547" t="s">
        <v>454</v>
      </c>
      <c r="G547">
        <v>0.95382672548294067</v>
      </c>
      <c r="H547" t="s">
        <v>662</v>
      </c>
      <c r="I547">
        <v>0.92704981565475464</v>
      </c>
      <c r="J547" t="s">
        <v>463</v>
      </c>
      <c r="K547" s="4">
        <v>0.82750785350799561</v>
      </c>
      <c r="L547" t="s">
        <v>274</v>
      </c>
      <c r="M547">
        <v>0.22938636000000001</v>
      </c>
      <c r="N547" t="s">
        <v>65</v>
      </c>
      <c r="O547">
        <v>0.2166032</v>
      </c>
      <c r="P547" t="s">
        <v>275</v>
      </c>
      <c r="Q547" s="4">
        <v>7.3254816E-2</v>
      </c>
      <c r="R547" t="s">
        <v>202</v>
      </c>
      <c r="S547">
        <v>0.13952832000000001</v>
      </c>
      <c r="T547" t="s">
        <v>365</v>
      </c>
      <c r="U547">
        <v>0.11557557</v>
      </c>
      <c r="V547" t="s">
        <v>411</v>
      </c>
      <c r="W547">
        <v>6.7697494999999996E-2</v>
      </c>
    </row>
    <row r="548" spans="1:23" x14ac:dyDescent="0.25">
      <c r="A548" s="3" t="str">
        <f>HYPERLINK("http://ids.si.edu/ids/deliveryService?id=NMAH-RWS2014-02463","NMAH-RWS2014-02463")</f>
        <v>NMAH-RWS2014-02463</v>
      </c>
      <c r="B548" s="3" t="s">
        <v>1643</v>
      </c>
      <c r="C548" s="3">
        <v>1384266</v>
      </c>
      <c r="D548" s="3" t="s">
        <v>1512</v>
      </c>
      <c r="E548" s="4" t="s">
        <v>125</v>
      </c>
      <c r="F548" t="s">
        <v>61</v>
      </c>
      <c r="G548">
        <v>0.9157753586769104</v>
      </c>
      <c r="H548" t="s">
        <v>112</v>
      </c>
      <c r="I548">
        <v>0.90493547916412354</v>
      </c>
      <c r="J548" t="s">
        <v>126</v>
      </c>
      <c r="K548" s="4">
        <v>0.72119230031967163</v>
      </c>
      <c r="L548" t="s">
        <v>378</v>
      </c>
      <c r="M548">
        <v>0.38690396999999999</v>
      </c>
      <c r="N548" t="s">
        <v>65</v>
      </c>
      <c r="O548">
        <v>0.1454182</v>
      </c>
      <c r="P548" t="s">
        <v>782</v>
      </c>
      <c r="Q548" s="4">
        <v>3.6396123000000002E-2</v>
      </c>
      <c r="R548" t="s">
        <v>378</v>
      </c>
      <c r="S548">
        <v>0.15065634</v>
      </c>
      <c r="T548" t="s">
        <v>65</v>
      </c>
      <c r="U548">
        <v>9.5931009999999997E-2</v>
      </c>
      <c r="V548" t="s">
        <v>405</v>
      </c>
      <c r="W548">
        <v>6.6906384999999999E-2</v>
      </c>
    </row>
    <row r="549" spans="1:23" x14ac:dyDescent="0.25">
      <c r="A549" s="3" t="str">
        <f>HYPERLINK("http://ids.si.edu/ids/deliveryService?id=NMAH-AHB2016q013101","NMAH-AHB2016q013101")</f>
        <v>NMAH-AHB2016q013101</v>
      </c>
      <c r="B549" s="3" t="s">
        <v>1645</v>
      </c>
      <c r="C549" s="3">
        <v>547238</v>
      </c>
      <c r="D549" s="3" t="s">
        <v>1512</v>
      </c>
      <c r="E549" s="4" t="s">
        <v>740</v>
      </c>
      <c r="F549" t="s">
        <v>38</v>
      </c>
      <c r="G549">
        <v>0.55728942155838013</v>
      </c>
      <c r="L549" t="s">
        <v>65</v>
      </c>
      <c r="M549">
        <v>0.22834085000000001</v>
      </c>
      <c r="N549" t="s">
        <v>209</v>
      </c>
      <c r="O549">
        <v>0.18576854000000001</v>
      </c>
      <c r="P549" t="s">
        <v>426</v>
      </c>
      <c r="Q549" s="4">
        <v>0.10859412</v>
      </c>
      <c r="R549" t="s">
        <v>426</v>
      </c>
      <c r="S549">
        <v>0.65194269999999999</v>
      </c>
      <c r="T549" t="s">
        <v>65</v>
      </c>
      <c r="U549">
        <v>6.6794709999999993E-2</v>
      </c>
      <c r="V549" t="s">
        <v>443</v>
      </c>
      <c r="W549">
        <v>5.9750159999999997E-2</v>
      </c>
    </row>
    <row r="550" spans="1:23" x14ac:dyDescent="0.25">
      <c r="A550" s="3" t="str">
        <f>HYPERLINK("http://ids.si.edu/ids/deliveryService?id=NMAH-AHB2016q013055","NMAH-AHB2016q013055")</f>
        <v>NMAH-AHB2016q013055</v>
      </c>
      <c r="B550" s="3" t="s">
        <v>1646</v>
      </c>
      <c r="C550" s="3">
        <v>508134</v>
      </c>
      <c r="D550" s="3" t="s">
        <v>1512</v>
      </c>
      <c r="E550" s="4" t="s">
        <v>1647</v>
      </c>
      <c r="F550" t="s">
        <v>741</v>
      </c>
      <c r="G550">
        <v>0.56749957799911499</v>
      </c>
      <c r="L550" t="s">
        <v>65</v>
      </c>
      <c r="M550">
        <v>0.28148847999999999</v>
      </c>
      <c r="N550" t="s">
        <v>204</v>
      </c>
      <c r="O550">
        <v>0.13539082</v>
      </c>
      <c r="P550" t="s">
        <v>129</v>
      </c>
      <c r="Q550" s="4">
        <v>6.1048619999999998E-2</v>
      </c>
      <c r="R550" t="s">
        <v>65</v>
      </c>
      <c r="S550">
        <v>0.44033408000000002</v>
      </c>
      <c r="T550" t="s">
        <v>129</v>
      </c>
      <c r="U550">
        <v>0.29276204</v>
      </c>
      <c r="V550" t="s">
        <v>95</v>
      </c>
      <c r="W550">
        <v>5.9242040000000003E-2</v>
      </c>
    </row>
    <row r="551" spans="1:23" x14ac:dyDescent="0.25">
      <c r="A551" s="3" t="str">
        <f>HYPERLINK("http://ids.si.edu/ids/deliveryService?id=NMAH-ET2016-02410","NMAH-ET2016-02410")</f>
        <v>NMAH-ET2016-02410</v>
      </c>
      <c r="B551" s="3" t="s">
        <v>1648</v>
      </c>
      <c r="C551" s="3">
        <v>491712</v>
      </c>
      <c r="D551" s="3" t="s">
        <v>1512</v>
      </c>
      <c r="E551" s="4" t="s">
        <v>1649</v>
      </c>
      <c r="F551" t="s">
        <v>1650</v>
      </c>
      <c r="G551">
        <v>0.94084417819976807</v>
      </c>
      <c r="H551" t="s">
        <v>885</v>
      </c>
      <c r="I551">
        <v>0.92705237865447998</v>
      </c>
      <c r="J551" t="s">
        <v>90</v>
      </c>
      <c r="K551" s="4">
        <v>0.78787320852279663</v>
      </c>
      <c r="L551" t="s">
        <v>98</v>
      </c>
      <c r="M551">
        <v>0.71240870000000001</v>
      </c>
      <c r="N551" t="s">
        <v>1206</v>
      </c>
      <c r="O551">
        <v>0.18440898</v>
      </c>
      <c r="P551" t="s">
        <v>404</v>
      </c>
      <c r="Q551" s="4">
        <v>2.6418325999999999E-2</v>
      </c>
      <c r="R551" t="s">
        <v>141</v>
      </c>
      <c r="S551">
        <v>0.16356087999999999</v>
      </c>
      <c r="T551" t="s">
        <v>764</v>
      </c>
      <c r="U551">
        <v>5.7153290000000002E-2</v>
      </c>
      <c r="V551" t="s">
        <v>159</v>
      </c>
      <c r="W551">
        <v>3.302803E-2</v>
      </c>
    </row>
    <row r="552" spans="1:23" x14ac:dyDescent="0.25">
      <c r="A552" s="3" t="str">
        <f>HYPERLINK("http://ids.si.edu/ids/deliveryService?id=NMAH-AHB2016q013053","NMAH-AHB2016q013053")</f>
        <v>NMAH-AHB2016q013053</v>
      </c>
      <c r="B552" s="3" t="s">
        <v>1651</v>
      </c>
      <c r="C552" s="3">
        <v>1591320</v>
      </c>
      <c r="D552" s="3" t="s">
        <v>1512</v>
      </c>
      <c r="E552" s="4" t="s">
        <v>1652</v>
      </c>
      <c r="F552" t="s">
        <v>112</v>
      </c>
      <c r="G552">
        <v>0.97534739971160889</v>
      </c>
      <c r="H552" t="s">
        <v>61</v>
      </c>
      <c r="I552">
        <v>0.96854186058044434</v>
      </c>
      <c r="L552" t="s">
        <v>184</v>
      </c>
      <c r="M552">
        <v>0.37584117</v>
      </c>
      <c r="N552" t="s">
        <v>65</v>
      </c>
      <c r="O552">
        <v>0.34150111999999999</v>
      </c>
      <c r="P552" t="s">
        <v>152</v>
      </c>
      <c r="Q552" s="4">
        <v>0.14623864</v>
      </c>
      <c r="R552" t="s">
        <v>184</v>
      </c>
      <c r="S552">
        <v>0.61412734000000002</v>
      </c>
      <c r="T552" t="s">
        <v>152</v>
      </c>
      <c r="U552">
        <v>0.17618853000000001</v>
      </c>
      <c r="V552" t="s">
        <v>65</v>
      </c>
      <c r="W552">
        <v>0.10973932</v>
      </c>
    </row>
    <row r="553" spans="1:23" x14ac:dyDescent="0.25">
      <c r="A553" s="3" t="str">
        <f>HYPERLINK("http://ids.si.edu/ids/deliveryService?id=NMAH-ET2016-09138","NMAH-ET2016-09138")</f>
        <v>NMAH-ET2016-09138</v>
      </c>
      <c r="B553" s="3" t="s">
        <v>1653</v>
      </c>
      <c r="C553" s="3">
        <v>1050628</v>
      </c>
      <c r="D553" s="3" t="s">
        <v>1512</v>
      </c>
      <c r="E553" s="4" t="s">
        <v>1654</v>
      </c>
      <c r="F553" t="s">
        <v>126</v>
      </c>
      <c r="G553">
        <v>0.90922367572784424</v>
      </c>
      <c r="H553" t="s">
        <v>61</v>
      </c>
      <c r="I553">
        <v>0.89724308252334595</v>
      </c>
      <c r="J553" t="s">
        <v>112</v>
      </c>
      <c r="K553" s="4">
        <v>0.86162483692169189</v>
      </c>
      <c r="L553" t="s">
        <v>29</v>
      </c>
      <c r="M553">
        <v>0.71824860000000001</v>
      </c>
      <c r="N553" t="s">
        <v>129</v>
      </c>
      <c r="O553">
        <v>6.1943739999999997E-2</v>
      </c>
      <c r="P553" t="s">
        <v>484</v>
      </c>
      <c r="Q553" s="4">
        <v>3.3249695000000003E-2</v>
      </c>
      <c r="R553" t="s">
        <v>29</v>
      </c>
      <c r="S553">
        <v>0.40312025000000001</v>
      </c>
      <c r="T553" t="s">
        <v>66</v>
      </c>
      <c r="U553">
        <v>6.5808510000000001E-2</v>
      </c>
      <c r="V553" t="s">
        <v>65</v>
      </c>
      <c r="W553">
        <v>4.4843238000000001E-2</v>
      </c>
    </row>
    <row r="554" spans="1:23" x14ac:dyDescent="0.25">
      <c r="A554" s="3" t="str">
        <f>HYPERLINK("http://ids.si.edu/ids/deliveryService?id=NMAH-AHB2016q013019","NMAH-AHB2016q013019")</f>
        <v>NMAH-AHB2016q013019</v>
      </c>
      <c r="B554" s="3" t="s">
        <v>1655</v>
      </c>
      <c r="C554" s="3">
        <v>530072</v>
      </c>
      <c r="D554" s="3" t="s">
        <v>1512</v>
      </c>
      <c r="E554" s="4" t="s">
        <v>1543</v>
      </c>
      <c r="F554" t="s">
        <v>61</v>
      </c>
      <c r="G554">
        <v>0.94669193029403687</v>
      </c>
      <c r="H554" t="s">
        <v>111</v>
      </c>
      <c r="I554">
        <v>0.61081600189208984</v>
      </c>
      <c r="J554" t="s">
        <v>220</v>
      </c>
      <c r="K554" s="4">
        <v>0.54306823015213013</v>
      </c>
      <c r="L554" t="s">
        <v>65</v>
      </c>
      <c r="M554">
        <v>0.42591050000000003</v>
      </c>
      <c r="N554" t="s">
        <v>426</v>
      </c>
      <c r="O554">
        <v>0.150119</v>
      </c>
      <c r="P554" t="s">
        <v>77</v>
      </c>
      <c r="Q554" s="4">
        <v>0.13328794999999999</v>
      </c>
      <c r="R554" t="s">
        <v>65</v>
      </c>
      <c r="S554">
        <v>0.64564280000000007</v>
      </c>
      <c r="T554" t="s">
        <v>209</v>
      </c>
      <c r="U554">
        <v>9.0781399999999998E-2</v>
      </c>
      <c r="V554" t="s">
        <v>426</v>
      </c>
      <c r="W554">
        <v>5.4574570000000003E-2</v>
      </c>
    </row>
    <row r="555" spans="1:23" x14ac:dyDescent="0.25">
      <c r="A555" s="3" t="str">
        <f>HYPERLINK("http://ids.si.edu/ids/deliveryService?id=NMAH-2000-7798","NMAH-2000-7798")</f>
        <v>NMAH-2000-7798</v>
      </c>
      <c r="B555" s="3" t="s">
        <v>1656</v>
      </c>
      <c r="C555" s="3">
        <v>1761700</v>
      </c>
      <c r="D555" s="3" t="s">
        <v>1512</v>
      </c>
      <c r="E555" s="4" t="s">
        <v>125</v>
      </c>
      <c r="F555" t="s">
        <v>112</v>
      </c>
      <c r="G555">
        <v>0.96411895751953125</v>
      </c>
      <c r="H555" t="s">
        <v>61</v>
      </c>
      <c r="I555">
        <v>0.92879420518875122</v>
      </c>
      <c r="J555" t="s">
        <v>1513</v>
      </c>
      <c r="K555" s="4">
        <v>0.65736222267150879</v>
      </c>
      <c r="L555" t="s">
        <v>378</v>
      </c>
      <c r="M555">
        <v>0.60361330000000002</v>
      </c>
      <c r="N555" t="s">
        <v>65</v>
      </c>
      <c r="O555">
        <v>0.22269082000000001</v>
      </c>
      <c r="P555" t="s">
        <v>1657</v>
      </c>
      <c r="Q555" s="4">
        <v>2.5513762999999998E-2</v>
      </c>
      <c r="R555" t="s">
        <v>378</v>
      </c>
      <c r="S555">
        <v>0.34416249999999998</v>
      </c>
      <c r="T555" t="s">
        <v>65</v>
      </c>
      <c r="U555">
        <v>0.14535421000000001</v>
      </c>
      <c r="V555" t="s">
        <v>129</v>
      </c>
      <c r="W555">
        <v>0.10645741</v>
      </c>
    </row>
    <row r="556" spans="1:23" x14ac:dyDescent="0.25">
      <c r="A556" s="3" t="str">
        <f>HYPERLINK("http://ids.si.edu/ids/deliveryService?id=NMAH-AHB2012q08025","NMAH-AHB2012q08025")</f>
        <v>NMAH-AHB2012q08025</v>
      </c>
      <c r="B556" s="3" t="s">
        <v>1658</v>
      </c>
      <c r="C556" s="3">
        <v>512262</v>
      </c>
      <c r="D556" s="3" t="s">
        <v>1512</v>
      </c>
      <c r="E556" s="4" t="s">
        <v>1659</v>
      </c>
      <c r="F556" t="s">
        <v>61</v>
      </c>
      <c r="G556">
        <v>0.89013081789016724</v>
      </c>
      <c r="H556" t="s">
        <v>220</v>
      </c>
      <c r="I556">
        <v>0.76145744323730469</v>
      </c>
      <c r="J556" t="s">
        <v>112</v>
      </c>
      <c r="K556" s="4">
        <v>0.74956268072128296</v>
      </c>
      <c r="L556" t="s">
        <v>66</v>
      </c>
      <c r="M556">
        <v>0.87917070000000008</v>
      </c>
      <c r="N556" t="s">
        <v>65</v>
      </c>
      <c r="O556">
        <v>3.8701439999999997E-2</v>
      </c>
      <c r="P556" t="s">
        <v>79</v>
      </c>
      <c r="Q556" s="4">
        <v>1.31138535E-2</v>
      </c>
      <c r="R556" t="s">
        <v>66</v>
      </c>
      <c r="S556">
        <v>0.49797180000000002</v>
      </c>
      <c r="T556" t="s">
        <v>65</v>
      </c>
      <c r="U556">
        <v>0.21161680999999999</v>
      </c>
      <c r="V556" t="s">
        <v>45</v>
      </c>
      <c r="W556">
        <v>3.2702589999999997E-2</v>
      </c>
    </row>
    <row r="557" spans="1:23" x14ac:dyDescent="0.25">
      <c r="A557" s="3" t="str">
        <f>HYPERLINK("http://ids.si.edu/ids/deliveryService?id=NMAH-ET2015-07922","NMAH-ET2015-07922")</f>
        <v>NMAH-ET2015-07922</v>
      </c>
      <c r="B557" s="3" t="s">
        <v>1660</v>
      </c>
      <c r="C557" s="3">
        <v>526282</v>
      </c>
      <c r="D557" s="3" t="s">
        <v>1512</v>
      </c>
      <c r="E557" s="4" t="s">
        <v>118</v>
      </c>
      <c r="F557" t="s">
        <v>1108</v>
      </c>
      <c r="G557">
        <v>0.88461244106292725</v>
      </c>
      <c r="H557" t="s">
        <v>272</v>
      </c>
      <c r="I557">
        <v>0.80717593431472778</v>
      </c>
      <c r="J557" t="s">
        <v>206</v>
      </c>
      <c r="K557" s="4">
        <v>0.76821202039718628</v>
      </c>
      <c r="L557" t="s">
        <v>303</v>
      </c>
      <c r="M557">
        <v>0.56479864999999996</v>
      </c>
      <c r="N557" t="s">
        <v>336</v>
      </c>
      <c r="O557">
        <v>0.14572476000000001</v>
      </c>
      <c r="P557" t="s">
        <v>123</v>
      </c>
      <c r="Q557" s="4">
        <v>0.12564068</v>
      </c>
      <c r="R557" t="s">
        <v>303</v>
      </c>
      <c r="S557">
        <v>0.28618569999999999</v>
      </c>
      <c r="T557" t="s">
        <v>41</v>
      </c>
      <c r="U557">
        <v>0.17348822999999999</v>
      </c>
      <c r="V557" t="s">
        <v>701</v>
      </c>
      <c r="W557">
        <v>9.9824109999999994E-2</v>
      </c>
    </row>
    <row r="558" spans="1:23" x14ac:dyDescent="0.25">
      <c r="A558" s="3" t="str">
        <f>HYPERLINK("http://ids.si.edu/ids/deliveryService?id=NMAH-ET2016-07053","NMAH-ET2016-07053")</f>
        <v>NMAH-ET2016-07053</v>
      </c>
      <c r="B558" s="3" t="s">
        <v>1661</v>
      </c>
      <c r="C558" s="3">
        <v>501813</v>
      </c>
      <c r="D558" s="3" t="s">
        <v>1512</v>
      </c>
      <c r="E558" s="4" t="s">
        <v>1662</v>
      </c>
      <c r="F558" t="s">
        <v>1578</v>
      </c>
      <c r="G558">
        <v>0.92150002717971802</v>
      </c>
      <c r="H558" t="s">
        <v>1663</v>
      </c>
      <c r="I558">
        <v>0.82585662603378296</v>
      </c>
      <c r="J558" t="s">
        <v>1664</v>
      </c>
      <c r="K558" s="4">
        <v>0.7612270712852478</v>
      </c>
      <c r="L558" t="s">
        <v>1665</v>
      </c>
      <c r="M558">
        <v>0.79040927000000005</v>
      </c>
      <c r="N558" t="s">
        <v>1666</v>
      </c>
      <c r="O558">
        <v>2.4637675000000001E-2</v>
      </c>
      <c r="P558" t="s">
        <v>1644</v>
      </c>
      <c r="Q558" s="4">
        <v>9.0997680000000011E-3</v>
      </c>
      <c r="R558" t="s">
        <v>122</v>
      </c>
      <c r="S558">
        <v>0.13435853</v>
      </c>
      <c r="T558" t="s">
        <v>1665</v>
      </c>
      <c r="U558">
        <v>0.12834576</v>
      </c>
      <c r="V558" t="s">
        <v>1666</v>
      </c>
      <c r="W558">
        <v>0.10990810400000001</v>
      </c>
    </row>
    <row r="559" spans="1:23" x14ac:dyDescent="0.25">
      <c r="A559" s="3" t="str">
        <f>HYPERLINK("http://ids.si.edu/ids/deliveryService?id=NMAH-ET2017-05664-000001","NMAH-ET2017-05664-000001")</f>
        <v>NMAH-ET2017-05664-000001</v>
      </c>
      <c r="B559" s="3" t="s">
        <v>1667</v>
      </c>
      <c r="C559" s="3">
        <v>529359</v>
      </c>
      <c r="D559" s="3" t="s">
        <v>1512</v>
      </c>
      <c r="E559" s="4" t="s">
        <v>1668</v>
      </c>
      <c r="F559" t="s">
        <v>1461</v>
      </c>
      <c r="G559">
        <v>0.91515481472015381</v>
      </c>
      <c r="H559" t="s">
        <v>50</v>
      </c>
      <c r="I559">
        <v>0.88718718290328979</v>
      </c>
      <c r="J559" t="s">
        <v>1462</v>
      </c>
      <c r="K559" s="4">
        <v>0.84221780300140381</v>
      </c>
      <c r="L559" t="s">
        <v>336</v>
      </c>
      <c r="M559">
        <v>0.15265231000000001</v>
      </c>
      <c r="N559" t="s">
        <v>334</v>
      </c>
      <c r="O559">
        <v>0.14180770000000001</v>
      </c>
      <c r="P559" t="s">
        <v>45</v>
      </c>
      <c r="Q559" s="4">
        <v>8.9383580000000004E-2</v>
      </c>
      <c r="R559" t="s">
        <v>369</v>
      </c>
      <c r="S559">
        <v>0.12819085999999999</v>
      </c>
      <c r="T559" t="s">
        <v>183</v>
      </c>
      <c r="U559">
        <v>4.7085624000000013E-2</v>
      </c>
      <c r="V559" t="s">
        <v>334</v>
      </c>
      <c r="W559">
        <v>4.6185075999999999E-2</v>
      </c>
    </row>
    <row r="560" spans="1:23" x14ac:dyDescent="0.25">
      <c r="A560" s="3" t="str">
        <f>HYPERLINK("http://ids.si.edu/ids/deliveryService?id=NMAH-ET2015-20036","NMAH-ET2015-20036")</f>
        <v>NMAH-ET2015-20036</v>
      </c>
      <c r="B560" s="3" t="s">
        <v>1669</v>
      </c>
      <c r="C560" s="3">
        <v>1464774</v>
      </c>
      <c r="D560" s="3" t="s">
        <v>1512</v>
      </c>
      <c r="E560" s="4" t="s">
        <v>842</v>
      </c>
      <c r="F560" t="s">
        <v>1224</v>
      </c>
      <c r="G560">
        <v>0.71040934324264526</v>
      </c>
      <c r="H560" t="s">
        <v>112</v>
      </c>
      <c r="I560">
        <v>0.68572378158569336</v>
      </c>
      <c r="J560" t="s">
        <v>196</v>
      </c>
      <c r="K560" s="4">
        <v>0.63505172729492188</v>
      </c>
      <c r="L560" t="s">
        <v>66</v>
      </c>
      <c r="M560">
        <v>8.8073020000000002E-2</v>
      </c>
      <c r="N560" t="s">
        <v>572</v>
      </c>
      <c r="O560">
        <v>4.2641270000000002E-2</v>
      </c>
      <c r="P560" t="s">
        <v>29</v>
      </c>
      <c r="Q560" s="4">
        <v>3.3873733000000003E-2</v>
      </c>
      <c r="R560" t="s">
        <v>303</v>
      </c>
      <c r="S560">
        <v>0.11224509000000001</v>
      </c>
      <c r="T560" t="s">
        <v>585</v>
      </c>
      <c r="U560">
        <v>0.10378187</v>
      </c>
      <c r="V560" t="s">
        <v>190</v>
      </c>
      <c r="W560">
        <v>6.5224160000000003E-2</v>
      </c>
    </row>
    <row r="561" spans="1:23" x14ac:dyDescent="0.25">
      <c r="A561" s="3" t="str">
        <f>HYPERLINK("http://ids.si.edu/ids/deliveryService?id=NMAH-RWS2012-04284","NMAH-RWS2012-04284")</f>
        <v>NMAH-RWS2012-04284</v>
      </c>
      <c r="B561" s="3" t="s">
        <v>1670</v>
      </c>
      <c r="C561" s="3">
        <v>490289</v>
      </c>
      <c r="D561" s="3" t="s">
        <v>1512</v>
      </c>
      <c r="E561" s="4" t="s">
        <v>146</v>
      </c>
      <c r="F561" t="s">
        <v>1461</v>
      </c>
      <c r="G561">
        <v>0.87595897912979126</v>
      </c>
      <c r="H561" t="s">
        <v>1495</v>
      </c>
      <c r="I561">
        <v>0.78793686628341675</v>
      </c>
      <c r="J561" t="s">
        <v>50</v>
      </c>
      <c r="K561" s="4">
        <v>0.69359874725341797</v>
      </c>
      <c r="L561" t="s">
        <v>813</v>
      </c>
      <c r="M561">
        <v>0.64230465999999997</v>
      </c>
      <c r="N561" t="s">
        <v>141</v>
      </c>
      <c r="O561">
        <v>0.10234192</v>
      </c>
      <c r="P561" t="s">
        <v>363</v>
      </c>
      <c r="Q561" s="4">
        <v>7.9997760000000001E-2</v>
      </c>
      <c r="R561" t="s">
        <v>813</v>
      </c>
      <c r="S561">
        <v>0.44685520000000001</v>
      </c>
      <c r="T561" t="s">
        <v>703</v>
      </c>
      <c r="U561">
        <v>0.11514648</v>
      </c>
      <c r="V561" t="s">
        <v>1671</v>
      </c>
      <c r="W561">
        <v>7.5034790000000004E-2</v>
      </c>
    </row>
    <row r="562" spans="1:23" x14ac:dyDescent="0.25">
      <c r="A562" s="3" t="str">
        <f>HYPERLINK("http://ids.si.edu/ids/deliveryService?id=NMAH-AHB2016q013061","NMAH-AHB2016q013061")</f>
        <v>NMAH-AHB2016q013061</v>
      </c>
      <c r="B562" s="3" t="s">
        <v>1672</v>
      </c>
      <c r="C562" s="3">
        <v>1403831</v>
      </c>
      <c r="D562" s="3" t="s">
        <v>1512</v>
      </c>
      <c r="E562" s="4" t="s">
        <v>1673</v>
      </c>
      <c r="F562" t="s">
        <v>61</v>
      </c>
      <c r="G562">
        <v>0.94750958681106567</v>
      </c>
      <c r="H562" t="s">
        <v>112</v>
      </c>
      <c r="I562">
        <v>0.92757254838943481</v>
      </c>
      <c r="J562" t="s">
        <v>1586</v>
      </c>
      <c r="K562" s="4">
        <v>0.85737842321395874</v>
      </c>
      <c r="L562" t="s">
        <v>129</v>
      </c>
      <c r="M562">
        <v>0.23479654</v>
      </c>
      <c r="N562" t="s">
        <v>65</v>
      </c>
      <c r="O562">
        <v>0.20470099999999999</v>
      </c>
      <c r="P562" t="s">
        <v>29</v>
      </c>
      <c r="Q562" s="4">
        <v>0.14540137</v>
      </c>
      <c r="R562" t="s">
        <v>689</v>
      </c>
      <c r="S562">
        <v>0.13127517999999999</v>
      </c>
      <c r="T562" t="s">
        <v>29</v>
      </c>
      <c r="U562">
        <v>0.107951276</v>
      </c>
      <c r="V562" t="s">
        <v>1514</v>
      </c>
      <c r="W562">
        <v>5.713907E-2</v>
      </c>
    </row>
    <row r="563" spans="1:23" x14ac:dyDescent="0.25">
      <c r="A563" s="3" t="str">
        <f>HYPERLINK("http://ids.si.edu/ids/deliveryService?id=NMAH-ET2016-02374","NMAH-ET2016-02374")</f>
        <v>NMAH-ET2016-02374</v>
      </c>
      <c r="B563" s="3" t="s">
        <v>1674</v>
      </c>
      <c r="C563" s="3">
        <v>504966</v>
      </c>
      <c r="D563" s="3" t="s">
        <v>1512</v>
      </c>
      <c r="E563" s="4" t="s">
        <v>309</v>
      </c>
      <c r="F563" t="s">
        <v>1461</v>
      </c>
      <c r="G563">
        <v>0.90281152725219727</v>
      </c>
      <c r="H563" t="s">
        <v>1462</v>
      </c>
      <c r="I563">
        <v>0.77404522895812988</v>
      </c>
      <c r="J563" t="s">
        <v>1463</v>
      </c>
      <c r="K563" s="4">
        <v>0.76116228103637695</v>
      </c>
      <c r="L563" t="s">
        <v>337</v>
      </c>
      <c r="M563">
        <v>0.55502859999999998</v>
      </c>
      <c r="N563" t="s">
        <v>303</v>
      </c>
      <c r="O563">
        <v>0.12687604</v>
      </c>
      <c r="P563" t="s">
        <v>233</v>
      </c>
      <c r="Q563" s="4">
        <v>4.0568825000000003E-2</v>
      </c>
      <c r="R563" t="s">
        <v>337</v>
      </c>
      <c r="S563">
        <v>0.56931660000000006</v>
      </c>
      <c r="T563" t="s">
        <v>765</v>
      </c>
      <c r="U563">
        <v>5.8768872E-2</v>
      </c>
      <c r="V563" t="s">
        <v>1501</v>
      </c>
      <c r="W563">
        <v>2.2295289999999999E-2</v>
      </c>
    </row>
    <row r="564" spans="1:23" x14ac:dyDescent="0.25">
      <c r="A564" s="3" t="str">
        <f>HYPERLINK("http://ids.si.edu/ids/deliveryService?id=NMAH-ET2015-20026","NMAH-ET2015-20026")</f>
        <v>NMAH-ET2015-20026</v>
      </c>
      <c r="B564" s="3" t="s">
        <v>1675</v>
      </c>
      <c r="C564" s="3">
        <v>516344</v>
      </c>
      <c r="D564" s="3" t="s">
        <v>1512</v>
      </c>
      <c r="E564" s="4" t="s">
        <v>1676</v>
      </c>
      <c r="F564" t="s">
        <v>1677</v>
      </c>
      <c r="G564">
        <v>0.97175395488739014</v>
      </c>
      <c r="H564" t="s">
        <v>132</v>
      </c>
      <c r="I564">
        <v>0.94634675979614258</v>
      </c>
      <c r="J564" t="s">
        <v>1678</v>
      </c>
      <c r="K564" s="4">
        <v>0.93361616134643555</v>
      </c>
      <c r="L564" t="s">
        <v>78</v>
      </c>
      <c r="M564">
        <v>0.99999950000000004</v>
      </c>
      <c r="N564" t="s">
        <v>1679</v>
      </c>
      <c r="O564">
        <v>2.3141543999999999E-7</v>
      </c>
      <c r="P564" t="s">
        <v>1567</v>
      </c>
      <c r="Q564" s="4">
        <v>3.8769560000000001E-8</v>
      </c>
      <c r="R564" t="s">
        <v>78</v>
      </c>
      <c r="S564">
        <v>0.9912496999999999</v>
      </c>
      <c r="T564" t="s">
        <v>83</v>
      </c>
      <c r="U564">
        <v>1.8780614E-3</v>
      </c>
      <c r="V564" t="s">
        <v>185</v>
      </c>
      <c r="W564">
        <v>1.2103043E-3</v>
      </c>
    </row>
    <row r="565" spans="1:23" x14ac:dyDescent="0.25">
      <c r="A565" s="3" t="str">
        <f>HYPERLINK("http://ids.si.edu/ids/deliveryService?id=NMAH-ET2016-12186","NMAH-ET2016-12186")</f>
        <v>NMAH-ET2016-12186</v>
      </c>
      <c r="B565" s="3" t="s">
        <v>1680</v>
      </c>
      <c r="C565" s="3">
        <v>516633</v>
      </c>
      <c r="D565" s="3" t="s">
        <v>1512</v>
      </c>
      <c r="E565" s="4" t="s">
        <v>53</v>
      </c>
      <c r="L565" t="s">
        <v>53</v>
      </c>
      <c r="M565">
        <v>0.95155453999999995</v>
      </c>
      <c r="N565" t="s">
        <v>389</v>
      </c>
      <c r="O565">
        <v>4.7913169999999998E-2</v>
      </c>
      <c r="P565" t="s">
        <v>52</v>
      </c>
      <c r="Q565" s="4">
        <v>1.9708470000000001E-4</v>
      </c>
      <c r="R565" t="s">
        <v>389</v>
      </c>
      <c r="S565">
        <v>0.55793740000000003</v>
      </c>
      <c r="T565" t="s">
        <v>157</v>
      </c>
      <c r="U565">
        <v>0.23028356</v>
      </c>
      <c r="V565" t="s">
        <v>53</v>
      </c>
      <c r="W565">
        <v>6.5957459999999996E-2</v>
      </c>
    </row>
    <row r="566" spans="1:23" x14ac:dyDescent="0.25">
      <c r="A566" s="3" t="str">
        <f>HYPERLINK("http://ids.si.edu/ids/deliveryService?id=NMAH-74-2386","NMAH-74-2386")</f>
        <v>NMAH-74-2386</v>
      </c>
      <c r="B566" s="3" t="s">
        <v>1681</v>
      </c>
      <c r="C566" s="3">
        <v>529590</v>
      </c>
      <c r="D566" s="3" t="s">
        <v>1512</v>
      </c>
      <c r="E566" s="4" t="s">
        <v>1682</v>
      </c>
      <c r="F566" t="s">
        <v>505</v>
      </c>
      <c r="G566">
        <v>0.99251490831375122</v>
      </c>
      <c r="H566" t="s">
        <v>1683</v>
      </c>
      <c r="I566">
        <v>0.98357146978378296</v>
      </c>
      <c r="J566" t="s">
        <v>62</v>
      </c>
      <c r="K566" s="4">
        <v>0.94637560844421387</v>
      </c>
      <c r="L566" t="s">
        <v>144</v>
      </c>
      <c r="M566">
        <v>0.46659136000000001</v>
      </c>
      <c r="N566" t="s">
        <v>563</v>
      </c>
      <c r="O566">
        <v>6.1871192999999998E-2</v>
      </c>
      <c r="P566" t="s">
        <v>481</v>
      </c>
      <c r="Q566" s="4">
        <v>6.1666317000000012E-2</v>
      </c>
      <c r="R566" t="s">
        <v>97</v>
      </c>
      <c r="S566">
        <v>0.16357066000000001</v>
      </c>
      <c r="T566" t="s">
        <v>96</v>
      </c>
      <c r="U566">
        <v>0.13728489999999999</v>
      </c>
      <c r="V566" t="s">
        <v>202</v>
      </c>
      <c r="W566">
        <v>4.2708654000000013E-2</v>
      </c>
    </row>
    <row r="567" spans="1:23" x14ac:dyDescent="0.25">
      <c r="A567" s="3" t="str">
        <f>HYPERLINK("http://ids.si.edu/ids/deliveryService?id=NMAH-ET2016-09140","NMAH-ET2016-09140")</f>
        <v>NMAH-ET2016-09140</v>
      </c>
      <c r="B567" s="3" t="s">
        <v>1684</v>
      </c>
      <c r="C567" s="3">
        <v>1169832</v>
      </c>
      <c r="D567" s="3" t="s">
        <v>1512</v>
      </c>
      <c r="E567" s="4" t="s">
        <v>125</v>
      </c>
      <c r="F567" t="s">
        <v>656</v>
      </c>
      <c r="G567">
        <v>0.9152100682258606</v>
      </c>
      <c r="H567" t="s">
        <v>1685</v>
      </c>
      <c r="I567">
        <v>0.83912461996078491</v>
      </c>
      <c r="J567" t="s">
        <v>657</v>
      </c>
      <c r="K567" s="4">
        <v>0.79316526651382446</v>
      </c>
      <c r="L567" t="s">
        <v>29</v>
      </c>
      <c r="M567">
        <v>0.38960191999999999</v>
      </c>
      <c r="N567" t="s">
        <v>66</v>
      </c>
      <c r="O567">
        <v>0.1998084</v>
      </c>
      <c r="P567" t="s">
        <v>499</v>
      </c>
      <c r="Q567" s="4">
        <v>7.8024780000000002E-2</v>
      </c>
      <c r="R567" t="s">
        <v>29</v>
      </c>
      <c r="S567">
        <v>0.64026040000000006</v>
      </c>
      <c r="T567" t="s">
        <v>66</v>
      </c>
      <c r="U567">
        <v>0.15682072999999999</v>
      </c>
      <c r="V567" t="s">
        <v>253</v>
      </c>
      <c r="W567">
        <v>5.9376784000000002E-2</v>
      </c>
    </row>
    <row r="568" spans="1:23" x14ac:dyDescent="0.25">
      <c r="A568" s="3" t="str">
        <f>HYPERLINK("http://ids.si.edu/ids/deliveryService?id=NMAH-AHB2014q013124","NMAH-AHB2014q013124")</f>
        <v>NMAH-AHB2014q013124</v>
      </c>
      <c r="B568" s="3" t="s">
        <v>1686</v>
      </c>
      <c r="C568" s="3">
        <v>1691543</v>
      </c>
      <c r="D568" s="3" t="s">
        <v>1512</v>
      </c>
      <c r="E568" s="4" t="s">
        <v>1687</v>
      </c>
      <c r="F568" t="s">
        <v>519</v>
      </c>
      <c r="G568">
        <v>0.89804166555404663</v>
      </c>
      <c r="H568" t="s">
        <v>728</v>
      </c>
      <c r="I568">
        <v>0.77003961801528931</v>
      </c>
      <c r="J568" t="s">
        <v>311</v>
      </c>
      <c r="K568" s="4">
        <v>0.74384701251983643</v>
      </c>
      <c r="L568" t="s">
        <v>65</v>
      </c>
      <c r="M568">
        <v>0.79556596000000002</v>
      </c>
      <c r="N568" t="s">
        <v>29</v>
      </c>
      <c r="O568">
        <v>4.9256614999999997E-2</v>
      </c>
      <c r="P568" t="s">
        <v>426</v>
      </c>
      <c r="Q568" s="4">
        <v>2.5524989000000001E-2</v>
      </c>
      <c r="R568" t="s">
        <v>65</v>
      </c>
      <c r="S568">
        <v>0.87548009999999998</v>
      </c>
      <c r="T568" t="s">
        <v>29</v>
      </c>
      <c r="U568">
        <v>8.1554740000000001E-2</v>
      </c>
      <c r="V568" t="s">
        <v>129</v>
      </c>
      <c r="W568">
        <v>1.3497359E-2</v>
      </c>
    </row>
    <row r="569" spans="1:23" x14ac:dyDescent="0.25">
      <c r="A569" s="3" t="str">
        <f>HYPERLINK("http://ids.si.edu/ids/deliveryService?id=NMAH-AHB2013q013138","NMAH-AHB2013q013138")</f>
        <v>NMAH-AHB2013q013138</v>
      </c>
      <c r="B569" s="3" t="s">
        <v>1688</v>
      </c>
      <c r="C569" s="3">
        <v>1142388</v>
      </c>
      <c r="D569" s="3" t="s">
        <v>1512</v>
      </c>
      <c r="E569" s="4" t="s">
        <v>1689</v>
      </c>
      <c r="F569" t="s">
        <v>61</v>
      </c>
      <c r="G569">
        <v>0.94299954175949097</v>
      </c>
      <c r="H569" t="s">
        <v>112</v>
      </c>
      <c r="I569">
        <v>0.86674314737319946</v>
      </c>
      <c r="J569" t="s">
        <v>519</v>
      </c>
      <c r="K569" s="4">
        <v>0.85107576847076416</v>
      </c>
      <c r="L569" t="s">
        <v>65</v>
      </c>
      <c r="M569">
        <v>0.87905425000000004</v>
      </c>
      <c r="N569" t="s">
        <v>129</v>
      </c>
      <c r="O569">
        <v>8.3707290000000004E-2</v>
      </c>
      <c r="P569" t="s">
        <v>77</v>
      </c>
      <c r="Q569" s="4">
        <v>1.2215719E-2</v>
      </c>
      <c r="R569" t="s">
        <v>65</v>
      </c>
      <c r="S569">
        <v>0.50856036000000004</v>
      </c>
      <c r="T569" t="s">
        <v>134</v>
      </c>
      <c r="U569">
        <v>3.8123879999999999E-2</v>
      </c>
      <c r="V569" t="s">
        <v>461</v>
      </c>
      <c r="W569">
        <v>3.4425012999999997E-2</v>
      </c>
    </row>
    <row r="570" spans="1:23" x14ac:dyDescent="0.25">
      <c r="A570" s="3" t="str">
        <f>HYPERLINK("http://ids.si.edu/ids/deliveryService?id=NMAH-2008-5453","NMAH-2008-5453")</f>
        <v>NMAH-2008-5453</v>
      </c>
      <c r="B570" s="3" t="s">
        <v>1690</v>
      </c>
      <c r="C570" s="3">
        <v>515980</v>
      </c>
      <c r="D570" s="3" t="s">
        <v>1512</v>
      </c>
      <c r="E570" s="4" t="s">
        <v>1691</v>
      </c>
      <c r="F570" t="s">
        <v>206</v>
      </c>
      <c r="G570">
        <v>0.85993218421936035</v>
      </c>
      <c r="H570" t="s">
        <v>39</v>
      </c>
      <c r="I570">
        <v>0.68449914455413818</v>
      </c>
      <c r="J570" t="s">
        <v>293</v>
      </c>
      <c r="K570" s="4">
        <v>0.6357344388961792</v>
      </c>
      <c r="L570" t="s">
        <v>1029</v>
      </c>
      <c r="M570">
        <v>0.28524923000000002</v>
      </c>
      <c r="N570" t="s">
        <v>135</v>
      </c>
      <c r="O570">
        <v>0.17454721000000001</v>
      </c>
      <c r="P570" t="s">
        <v>1023</v>
      </c>
      <c r="Q570" s="4">
        <v>0.11136929</v>
      </c>
      <c r="R570" t="s">
        <v>46</v>
      </c>
      <c r="S570">
        <v>0.29839700000000002</v>
      </c>
      <c r="T570" t="s">
        <v>135</v>
      </c>
      <c r="U570">
        <v>0.17400678999999999</v>
      </c>
      <c r="V570" t="s">
        <v>620</v>
      </c>
      <c r="W570">
        <v>0.10123413000000001</v>
      </c>
    </row>
    <row r="571" spans="1:23" x14ac:dyDescent="0.25">
      <c r="A571" s="3" t="str">
        <f>HYPERLINK("http://ids.si.edu/ids/deliveryService?id=NMAH-AHB2016q013020","NMAH-AHB2016q013020")</f>
        <v>NMAH-AHB2016q013020</v>
      </c>
      <c r="B571" s="3" t="s">
        <v>1692</v>
      </c>
      <c r="C571" s="3">
        <v>530363</v>
      </c>
      <c r="D571" s="3" t="s">
        <v>1512</v>
      </c>
      <c r="E571" s="4" t="s">
        <v>1693</v>
      </c>
      <c r="F571" t="s">
        <v>61</v>
      </c>
      <c r="G571">
        <v>0.93841838836669922</v>
      </c>
      <c r="H571" t="s">
        <v>220</v>
      </c>
      <c r="I571">
        <v>0.87989038228988647</v>
      </c>
      <c r="J571" t="s">
        <v>111</v>
      </c>
      <c r="K571" s="4">
        <v>0.79386138916015625</v>
      </c>
      <c r="L571" t="s">
        <v>29</v>
      </c>
      <c r="M571">
        <v>0.38121664999999999</v>
      </c>
      <c r="N571" t="s">
        <v>66</v>
      </c>
      <c r="O571">
        <v>0.1161276</v>
      </c>
      <c r="P571" t="s">
        <v>426</v>
      </c>
      <c r="Q571" s="4">
        <v>0.10950815999999999</v>
      </c>
      <c r="R571" t="s">
        <v>66</v>
      </c>
      <c r="S571">
        <v>0.70817589999999997</v>
      </c>
      <c r="T571" t="s">
        <v>77</v>
      </c>
      <c r="U571">
        <v>8.6115650000000002E-2</v>
      </c>
      <c r="V571" t="s">
        <v>65</v>
      </c>
      <c r="W571">
        <v>7.2956993999999997E-2</v>
      </c>
    </row>
    <row r="572" spans="1:23" x14ac:dyDescent="0.25">
      <c r="A572" s="3" t="str">
        <f>HYPERLINK("http://ids.si.edu/ids/deliveryService?id=NMAH-RWS2015-06665","NMAH-RWS2015-06665")</f>
        <v>NMAH-RWS2015-06665</v>
      </c>
      <c r="B572" s="3" t="s">
        <v>1694</v>
      </c>
      <c r="C572" s="3">
        <v>545567</v>
      </c>
      <c r="D572" s="3" t="s">
        <v>1512</v>
      </c>
      <c r="E572" s="4" t="s">
        <v>1569</v>
      </c>
      <c r="F572" t="s">
        <v>220</v>
      </c>
      <c r="G572">
        <v>0.6113312840461731</v>
      </c>
      <c r="L572" t="s">
        <v>260</v>
      </c>
      <c r="M572">
        <v>0.30164059999999998</v>
      </c>
      <c r="N572" t="s">
        <v>65</v>
      </c>
      <c r="O572">
        <v>0.13215244000000001</v>
      </c>
      <c r="P572" t="s">
        <v>398</v>
      </c>
      <c r="Q572" s="4">
        <v>6.6583980000000001E-2</v>
      </c>
      <c r="R572" t="s">
        <v>79</v>
      </c>
      <c r="S572">
        <v>0.16582337</v>
      </c>
      <c r="T572" t="s">
        <v>66</v>
      </c>
      <c r="U572">
        <v>0.15680179</v>
      </c>
      <c r="V572" t="s">
        <v>377</v>
      </c>
      <c r="W572">
        <v>0.13695616999999999</v>
      </c>
    </row>
    <row r="573" spans="1:23" x14ac:dyDescent="0.25">
      <c r="A573" s="3" t="str">
        <f>HYPERLINK("http://ids.si.edu/ids/deliveryService?id=NMAH-AHB2016q013016","NMAH-AHB2016q013016")</f>
        <v>NMAH-AHB2016q013016</v>
      </c>
      <c r="B573" s="3" t="s">
        <v>1695</v>
      </c>
      <c r="C573" s="3">
        <v>514677</v>
      </c>
      <c r="D573" s="3" t="s">
        <v>1512</v>
      </c>
      <c r="E573" s="4" t="s">
        <v>1696</v>
      </c>
      <c r="F573" t="s">
        <v>61</v>
      </c>
      <c r="G573">
        <v>0.89724308252334595</v>
      </c>
      <c r="L573" t="s">
        <v>66</v>
      </c>
      <c r="M573">
        <v>0.17596243</v>
      </c>
      <c r="N573" t="s">
        <v>209</v>
      </c>
      <c r="O573">
        <v>9.7490770000000004E-2</v>
      </c>
      <c r="P573" t="s">
        <v>45</v>
      </c>
      <c r="Q573" s="4">
        <v>9.4737719999999997E-2</v>
      </c>
      <c r="R573" t="s">
        <v>66</v>
      </c>
      <c r="S573">
        <v>0.35754046</v>
      </c>
      <c r="T573" t="s">
        <v>65</v>
      </c>
      <c r="U573">
        <v>0.151445</v>
      </c>
      <c r="V573" t="s">
        <v>77</v>
      </c>
      <c r="W573">
        <v>0.1003087</v>
      </c>
    </row>
    <row r="574" spans="1:23" x14ac:dyDescent="0.25">
      <c r="A574" s="3" t="str">
        <f>HYPERLINK("http://ids.si.edu/ids/deliveryService?id=NMAH-ET2017-05772-000001","NMAH-ET2017-05772-000001")</f>
        <v>NMAH-ET2017-05772-000001</v>
      </c>
      <c r="B574" s="3" t="s">
        <v>1697</v>
      </c>
      <c r="C574" s="3">
        <v>1762517</v>
      </c>
      <c r="D574" s="3" t="s">
        <v>1512</v>
      </c>
      <c r="E574" s="4" t="s">
        <v>1319</v>
      </c>
      <c r="F574" t="s">
        <v>196</v>
      </c>
      <c r="G574">
        <v>0.90560901165008545</v>
      </c>
      <c r="H574" t="s">
        <v>1623</v>
      </c>
      <c r="I574">
        <v>0.85259628295898438</v>
      </c>
      <c r="J574" t="s">
        <v>112</v>
      </c>
      <c r="K574" s="4">
        <v>0.74956268072128296</v>
      </c>
      <c r="L574" t="s">
        <v>813</v>
      </c>
      <c r="M574">
        <v>0.96741754000000002</v>
      </c>
      <c r="N574" t="s">
        <v>369</v>
      </c>
      <c r="O574">
        <v>6.1415669999999997E-3</v>
      </c>
      <c r="P574" t="s">
        <v>336</v>
      </c>
      <c r="Q574" s="4">
        <v>3.0162062000000001E-3</v>
      </c>
      <c r="R574" t="s">
        <v>369</v>
      </c>
      <c r="S574">
        <v>0.30923467999999998</v>
      </c>
      <c r="T574" t="s">
        <v>813</v>
      </c>
      <c r="U574">
        <v>0.17311095000000001</v>
      </c>
      <c r="V574" t="s">
        <v>1093</v>
      </c>
      <c r="W574">
        <v>0.11579415</v>
      </c>
    </row>
    <row r="575" spans="1:23" x14ac:dyDescent="0.25">
      <c r="A575" s="3" t="str">
        <f>HYPERLINK("http://ids.si.edu/ids/deliveryService?id=NMAH-AHB2013q013001","NMAH-AHB2013q013001")</f>
        <v>NMAH-AHB2013q013001</v>
      </c>
      <c r="B575" s="3" t="s">
        <v>1698</v>
      </c>
      <c r="C575" s="3">
        <v>1102688</v>
      </c>
      <c r="D575" s="3" t="s">
        <v>1512</v>
      </c>
      <c r="E575" s="4" t="s">
        <v>1647</v>
      </c>
      <c r="F575" t="s">
        <v>60</v>
      </c>
      <c r="G575">
        <v>0.95753026008605957</v>
      </c>
      <c r="H575" t="s">
        <v>1699</v>
      </c>
      <c r="I575">
        <v>0.86044180393218994</v>
      </c>
      <c r="J575" t="s">
        <v>428</v>
      </c>
      <c r="K575" s="4">
        <v>0.83585441112518311</v>
      </c>
      <c r="L575" t="s">
        <v>1700</v>
      </c>
      <c r="M575">
        <v>0.41052186000000002</v>
      </c>
      <c r="N575" t="s">
        <v>1701</v>
      </c>
      <c r="O575">
        <v>0.1052987</v>
      </c>
      <c r="P575" t="s">
        <v>758</v>
      </c>
      <c r="Q575" s="4">
        <v>0.10097999000000001</v>
      </c>
      <c r="R575" t="s">
        <v>652</v>
      </c>
      <c r="S575">
        <v>0.21095558</v>
      </c>
      <c r="T575" t="s">
        <v>1702</v>
      </c>
      <c r="U575">
        <v>0.16847469000000001</v>
      </c>
      <c r="V575" t="s">
        <v>1703</v>
      </c>
      <c r="W575">
        <v>0.13799476999999999</v>
      </c>
    </row>
    <row r="576" spans="1:23" x14ac:dyDescent="0.25">
      <c r="A576" s="3" t="str">
        <f>HYPERLINK("http://ids.si.edu/ids/deliveryService?id=NMAH-JN2016-00397","NMAH-JN2016-00397")</f>
        <v>NMAH-JN2016-00397</v>
      </c>
      <c r="B576" s="3" t="s">
        <v>1704</v>
      </c>
      <c r="C576" s="3">
        <v>504965</v>
      </c>
      <c r="D576" s="3" t="s">
        <v>1512</v>
      </c>
      <c r="E576" s="4" t="s">
        <v>309</v>
      </c>
      <c r="F576" t="s">
        <v>1461</v>
      </c>
      <c r="G576">
        <v>0.9529004693031311</v>
      </c>
      <c r="H576" t="s">
        <v>1462</v>
      </c>
      <c r="I576">
        <v>0.89849591255187988</v>
      </c>
      <c r="J576" t="s">
        <v>1463</v>
      </c>
      <c r="K576" s="4">
        <v>0.8696027398109436</v>
      </c>
      <c r="L576" t="s">
        <v>303</v>
      </c>
      <c r="M576">
        <v>0.44431216000000001</v>
      </c>
      <c r="N576" t="s">
        <v>784</v>
      </c>
      <c r="O576">
        <v>7.0229299999999995E-2</v>
      </c>
      <c r="P576" t="s">
        <v>523</v>
      </c>
      <c r="Q576" s="4">
        <v>5.1273208000000001E-2</v>
      </c>
      <c r="R576" t="s">
        <v>523</v>
      </c>
      <c r="S576">
        <v>0.14284599000000001</v>
      </c>
      <c r="T576" t="s">
        <v>203</v>
      </c>
      <c r="U576">
        <v>0.11810858</v>
      </c>
      <c r="V576" t="s">
        <v>259</v>
      </c>
      <c r="W576">
        <v>8.3856024000000001E-2</v>
      </c>
    </row>
    <row r="577" spans="1:23" x14ac:dyDescent="0.25">
      <c r="A577" s="3" t="str">
        <f>HYPERLINK("http://ids.si.edu/ids/deliveryService?id=NMAH-ET2017-11861-000001","NMAH-ET2017-11861-000001")</f>
        <v>NMAH-ET2017-11861-000001</v>
      </c>
      <c r="B577" s="3" t="s">
        <v>1705</v>
      </c>
      <c r="C577" s="3">
        <v>505307</v>
      </c>
      <c r="D577" s="3" t="s">
        <v>1512</v>
      </c>
      <c r="E577" s="4" t="s">
        <v>309</v>
      </c>
      <c r="F577" t="s">
        <v>1461</v>
      </c>
      <c r="G577">
        <v>0.98919755220413208</v>
      </c>
      <c r="H577" t="s">
        <v>1462</v>
      </c>
      <c r="I577">
        <v>0.97721022367477417</v>
      </c>
      <c r="J577" t="s">
        <v>1463</v>
      </c>
      <c r="K577" s="4">
        <v>0.96981793642044067</v>
      </c>
      <c r="L577" t="s">
        <v>336</v>
      </c>
      <c r="M577">
        <v>0.16589470000000001</v>
      </c>
      <c r="N577" t="s">
        <v>338</v>
      </c>
      <c r="O577">
        <v>5.5450689999999997E-2</v>
      </c>
      <c r="P577" t="s">
        <v>1093</v>
      </c>
      <c r="Q577" s="4">
        <v>2.9679993000000002E-2</v>
      </c>
      <c r="R577" t="s">
        <v>261</v>
      </c>
      <c r="S577">
        <v>4.6907755999999988E-2</v>
      </c>
      <c r="T577" t="s">
        <v>258</v>
      </c>
      <c r="U577">
        <v>4.1499372999999999E-2</v>
      </c>
      <c r="V577" t="s">
        <v>98</v>
      </c>
      <c r="W577">
        <v>3.8570809999999997E-2</v>
      </c>
    </row>
    <row r="578" spans="1:23" x14ac:dyDescent="0.25">
      <c r="A578" s="3" t="str">
        <f>HYPERLINK("http://ids.si.edu/ids/deliveryService?id=NMAH-AHB2014q013154","NMAH-AHB2014q013154")</f>
        <v>NMAH-AHB2014q013154</v>
      </c>
      <c r="B578" s="3" t="s">
        <v>1706</v>
      </c>
      <c r="C578" s="3">
        <v>520214</v>
      </c>
      <c r="D578" s="3" t="s">
        <v>1512</v>
      </c>
      <c r="E578" s="4" t="s">
        <v>1569</v>
      </c>
      <c r="F578" t="s">
        <v>61</v>
      </c>
      <c r="G578">
        <v>0.97349429130554199</v>
      </c>
      <c r="H578" t="s">
        <v>112</v>
      </c>
      <c r="I578">
        <v>0.80401664972305298</v>
      </c>
      <c r="J578" t="s">
        <v>111</v>
      </c>
      <c r="K578" s="4">
        <v>0.77862530946731567</v>
      </c>
      <c r="L578" t="s">
        <v>77</v>
      </c>
      <c r="M578">
        <v>0.50784594000000005</v>
      </c>
      <c r="N578" t="s">
        <v>79</v>
      </c>
      <c r="O578">
        <v>0.12223141999999999</v>
      </c>
      <c r="P578" t="s">
        <v>43</v>
      </c>
      <c r="Q578" s="4">
        <v>6.3800499999999996E-2</v>
      </c>
      <c r="R578" t="s">
        <v>66</v>
      </c>
      <c r="S578">
        <v>0.52428346999999997</v>
      </c>
      <c r="T578" t="s">
        <v>77</v>
      </c>
      <c r="U578">
        <v>0.1587277</v>
      </c>
      <c r="V578" t="s">
        <v>79</v>
      </c>
      <c r="W578">
        <v>5.6370754000000002E-2</v>
      </c>
    </row>
    <row r="579" spans="1:23" x14ac:dyDescent="0.25">
      <c r="A579" s="3" t="str">
        <f>HYPERLINK("http://ids.si.edu/ids/deliveryService?id=NMAH-AHB2016q013037","NMAH-AHB2016q013037")</f>
        <v>NMAH-AHB2016q013037</v>
      </c>
      <c r="B579" s="3" t="s">
        <v>1707</v>
      </c>
      <c r="C579" s="3">
        <v>493666</v>
      </c>
      <c r="D579" s="3" t="s">
        <v>1512</v>
      </c>
      <c r="E579" s="4" t="s">
        <v>1708</v>
      </c>
      <c r="F579" t="s">
        <v>112</v>
      </c>
      <c r="G579">
        <v>0.68572378158569336</v>
      </c>
      <c r="L579" t="s">
        <v>129</v>
      </c>
      <c r="M579">
        <v>0.55577487000000003</v>
      </c>
      <c r="N579" t="s">
        <v>65</v>
      </c>
      <c r="O579">
        <v>0.24441726999999999</v>
      </c>
      <c r="P579" t="s">
        <v>1709</v>
      </c>
      <c r="Q579" s="4">
        <v>1.9860777999999999E-2</v>
      </c>
      <c r="R579" t="s">
        <v>84</v>
      </c>
      <c r="S579">
        <v>0.45952441999999999</v>
      </c>
      <c r="T579" t="s">
        <v>330</v>
      </c>
      <c r="U579">
        <v>0.1371037</v>
      </c>
      <c r="V579" t="s">
        <v>1710</v>
      </c>
      <c r="W579">
        <v>3.756462E-2</v>
      </c>
    </row>
    <row r="580" spans="1:23" x14ac:dyDescent="0.25">
      <c r="A580" s="3" t="str">
        <f>HYPERLINK("http://ids.si.edu/ids/deliveryService?id=NMAH-ET2015-15069-000001","NMAH-ET2015-15069-000001")</f>
        <v>NMAH-ET2015-15069-000001</v>
      </c>
      <c r="B580" s="3" t="s">
        <v>1711</v>
      </c>
      <c r="C580" s="3">
        <v>1072675</v>
      </c>
      <c r="D580" s="3" t="s">
        <v>1512</v>
      </c>
      <c r="E580" s="4" t="s">
        <v>1712</v>
      </c>
      <c r="F580" t="s">
        <v>91</v>
      </c>
      <c r="G580">
        <v>0.88283330202102661</v>
      </c>
      <c r="H580" t="s">
        <v>441</v>
      </c>
      <c r="I580">
        <v>0.79379045963287354</v>
      </c>
      <c r="J580" t="s">
        <v>615</v>
      </c>
      <c r="K580" s="4">
        <v>0.77568209171295166</v>
      </c>
      <c r="L580" t="s">
        <v>571</v>
      </c>
      <c r="M580">
        <v>0.25223747000000002</v>
      </c>
      <c r="N580" t="s">
        <v>93</v>
      </c>
      <c r="O580">
        <v>0.21133113000000001</v>
      </c>
      <c r="P580" t="s">
        <v>79</v>
      </c>
      <c r="Q580" s="4">
        <v>9.3371670000000004E-2</v>
      </c>
      <c r="R580" t="s">
        <v>516</v>
      </c>
      <c r="S580">
        <v>0.20321220000000001</v>
      </c>
      <c r="T580" t="s">
        <v>79</v>
      </c>
      <c r="U580">
        <v>0.15318474000000001</v>
      </c>
      <c r="V580" t="s">
        <v>599</v>
      </c>
      <c r="W580">
        <v>0.10402222</v>
      </c>
    </row>
    <row r="581" spans="1:23" x14ac:dyDescent="0.25">
      <c r="A581" s="3" t="str">
        <f>HYPERLINK("http://ids.si.edu/ids/deliveryService?id=NMAH-RWS2014-02437","NMAH-RWS2014-02437")</f>
        <v>NMAH-RWS2014-02437</v>
      </c>
      <c r="B581" s="3" t="s">
        <v>1713</v>
      </c>
      <c r="C581" s="3">
        <v>541176</v>
      </c>
      <c r="D581" s="3" t="s">
        <v>1512</v>
      </c>
      <c r="E581" s="4" t="s">
        <v>125</v>
      </c>
      <c r="F581" t="s">
        <v>61</v>
      </c>
      <c r="G581">
        <v>0.96388369798660278</v>
      </c>
      <c r="H581" t="s">
        <v>112</v>
      </c>
      <c r="I581">
        <v>0.94195258617401123</v>
      </c>
      <c r="J581" t="s">
        <v>126</v>
      </c>
      <c r="K581" s="4">
        <v>0.87571930885314941</v>
      </c>
      <c r="L581" t="s">
        <v>65</v>
      </c>
      <c r="M581">
        <v>0.85538119999999995</v>
      </c>
      <c r="N581" t="s">
        <v>426</v>
      </c>
      <c r="O581">
        <v>2.1859384999999999E-2</v>
      </c>
      <c r="P581" t="s">
        <v>405</v>
      </c>
      <c r="Q581" s="4">
        <v>1.4050918000000001E-2</v>
      </c>
      <c r="R581" t="s">
        <v>65</v>
      </c>
      <c r="S581">
        <v>0.49251407000000003</v>
      </c>
      <c r="T581" t="s">
        <v>66</v>
      </c>
      <c r="U581">
        <v>4.1940577E-2</v>
      </c>
      <c r="V581" t="s">
        <v>77</v>
      </c>
      <c r="W581">
        <v>3.0130204000000001E-2</v>
      </c>
    </row>
    <row r="582" spans="1:23" x14ac:dyDescent="0.25">
      <c r="A582" s="3" t="str">
        <f>HYPERLINK("http://ids.si.edu/ids/deliveryService?id=NMAH-AHB2017q021030","NMAH-AHB2017q021030")</f>
        <v>NMAH-AHB2017q021030</v>
      </c>
      <c r="B582" s="3" t="s">
        <v>1714</v>
      </c>
      <c r="C582" s="3">
        <v>1178293</v>
      </c>
      <c r="D582" s="3" t="s">
        <v>1512</v>
      </c>
      <c r="E582" s="4" t="s">
        <v>842</v>
      </c>
      <c r="F582" t="s">
        <v>603</v>
      </c>
      <c r="G582">
        <v>0.95444875955581665</v>
      </c>
      <c r="H582" t="s">
        <v>1224</v>
      </c>
      <c r="I582">
        <v>0.90605729818344116</v>
      </c>
      <c r="J582" t="s">
        <v>1392</v>
      </c>
      <c r="K582" s="4">
        <v>0.72830361127853394</v>
      </c>
      <c r="L582" t="s">
        <v>444</v>
      </c>
      <c r="M582">
        <v>0.25149052999999999</v>
      </c>
      <c r="N582" t="s">
        <v>369</v>
      </c>
      <c r="O582">
        <v>0.21923223</v>
      </c>
      <c r="P582" t="s">
        <v>190</v>
      </c>
      <c r="Q582" s="4">
        <v>8.6868550000000003E-2</v>
      </c>
      <c r="R582" t="s">
        <v>190</v>
      </c>
      <c r="S582">
        <v>0.48770190000000002</v>
      </c>
      <c r="T582" t="s">
        <v>31</v>
      </c>
      <c r="U582">
        <v>8.3523210000000001E-2</v>
      </c>
      <c r="V582" t="s">
        <v>444</v>
      </c>
      <c r="W582">
        <v>6.7348089999999999E-2</v>
      </c>
    </row>
    <row r="583" spans="1:23" x14ac:dyDescent="0.25">
      <c r="A583" s="3" t="str">
        <f>HYPERLINK("http://ids.si.edu/ids/deliveryService?id=NMAH-NMAH2002-33646","NMAH-NMAH2002-33646")</f>
        <v>NMAH-NMAH2002-33646</v>
      </c>
      <c r="B583" s="3" t="s">
        <v>1715</v>
      </c>
      <c r="C583" s="3">
        <v>751139</v>
      </c>
      <c r="D583" s="3" t="s">
        <v>1716</v>
      </c>
      <c r="E583" s="4" t="s">
        <v>1717</v>
      </c>
      <c r="F583" t="s">
        <v>747</v>
      </c>
      <c r="G583">
        <v>0.83648741245269775</v>
      </c>
      <c r="H583" t="s">
        <v>1718</v>
      </c>
      <c r="I583">
        <v>0.75905299186706543</v>
      </c>
      <c r="J583" t="s">
        <v>1089</v>
      </c>
      <c r="K583" s="4">
        <v>0.72577095031738281</v>
      </c>
      <c r="L583" t="s">
        <v>258</v>
      </c>
      <c r="M583">
        <v>0.17861920000000001</v>
      </c>
      <c r="N583" t="s">
        <v>241</v>
      </c>
      <c r="O583">
        <v>7.304397E-2</v>
      </c>
      <c r="P583" t="s">
        <v>149</v>
      </c>
      <c r="Q583" s="4">
        <v>5.7689070000000002E-2</v>
      </c>
      <c r="R583" t="s">
        <v>1567</v>
      </c>
      <c r="S583">
        <v>0.11925274</v>
      </c>
      <c r="T583" t="s">
        <v>258</v>
      </c>
      <c r="U583">
        <v>9.5642920000000006E-2</v>
      </c>
      <c r="V583" t="s">
        <v>241</v>
      </c>
      <c r="W583">
        <v>8.088571E-2</v>
      </c>
    </row>
    <row r="584" spans="1:23" x14ac:dyDescent="0.25">
      <c r="A584" s="3" t="str">
        <f>HYPERLINK("http://ids.si.edu/ids/deliveryService?id=NMAH-AHB2016q069352","NMAH-AHB2016q069352")</f>
        <v>NMAH-AHB2016q069352</v>
      </c>
      <c r="B584" s="3" t="s">
        <v>1719</v>
      </c>
      <c r="C584" s="3">
        <v>1819575</v>
      </c>
      <c r="D584" s="3" t="s">
        <v>1716</v>
      </c>
      <c r="E584" s="4" t="s">
        <v>1720</v>
      </c>
      <c r="F584" t="s">
        <v>178</v>
      </c>
      <c r="G584">
        <v>0.72080999612808228</v>
      </c>
      <c r="H584" t="s">
        <v>256</v>
      </c>
      <c r="I584">
        <v>0.71957969665527344</v>
      </c>
      <c r="J584" t="s">
        <v>179</v>
      </c>
      <c r="K584" s="4">
        <v>0.58647066354751587</v>
      </c>
      <c r="L584" t="s">
        <v>566</v>
      </c>
      <c r="M584">
        <v>0.73302835</v>
      </c>
      <c r="N584" t="s">
        <v>185</v>
      </c>
      <c r="O584">
        <v>6.4186804E-2</v>
      </c>
      <c r="P584" t="s">
        <v>392</v>
      </c>
      <c r="Q584" s="4">
        <v>3.9622374000000002E-2</v>
      </c>
      <c r="R584" t="s">
        <v>566</v>
      </c>
      <c r="S584">
        <v>0.48507719999999999</v>
      </c>
      <c r="T584" t="s">
        <v>392</v>
      </c>
      <c r="U584">
        <v>0.12727508000000001</v>
      </c>
      <c r="V584" t="s">
        <v>788</v>
      </c>
      <c r="W584">
        <v>9.2451640000000002E-2</v>
      </c>
    </row>
    <row r="585" spans="1:23" x14ac:dyDescent="0.25">
      <c r="A585" s="3" t="str">
        <f>HYPERLINK("http://ids.si.edu/ids/deliveryService?id=NMAH-AHB2012q25842","NMAH-AHB2012q25842")</f>
        <v>NMAH-AHB2012q25842</v>
      </c>
      <c r="B585" s="3" t="s">
        <v>1721</v>
      </c>
      <c r="C585" s="3">
        <v>850040</v>
      </c>
      <c r="D585" s="3" t="s">
        <v>1716</v>
      </c>
      <c r="E585" s="4" t="s">
        <v>1722</v>
      </c>
      <c r="F585" t="s">
        <v>596</v>
      </c>
      <c r="G585">
        <v>0.96041595935821533</v>
      </c>
      <c r="H585" t="s">
        <v>91</v>
      </c>
      <c r="I585">
        <v>0.92529410123825073</v>
      </c>
      <c r="J585" t="s">
        <v>1723</v>
      </c>
      <c r="K585" s="4">
        <v>0.88838344812393188</v>
      </c>
      <c r="L585" t="s">
        <v>597</v>
      </c>
      <c r="M585">
        <v>0.61626289999999995</v>
      </c>
      <c r="N585" t="s">
        <v>598</v>
      </c>
      <c r="O585">
        <v>0.36483794000000003</v>
      </c>
      <c r="P585" t="s">
        <v>149</v>
      </c>
      <c r="Q585" s="4">
        <v>3.6779896000000002E-3</v>
      </c>
      <c r="R585" t="s">
        <v>149</v>
      </c>
      <c r="S585">
        <v>0.47786158000000001</v>
      </c>
      <c r="T585" t="s">
        <v>1454</v>
      </c>
      <c r="U585">
        <v>9.6262484999999995E-2</v>
      </c>
      <c r="V585" t="s">
        <v>601</v>
      </c>
      <c r="W585">
        <v>4.7790784000000003E-2</v>
      </c>
    </row>
    <row r="586" spans="1:23" x14ac:dyDescent="0.25">
      <c r="A586" s="3" t="str">
        <f>HYPERLINK("http://ids.si.edu/ids/deliveryService?id=NMAH-NMAH2000-07013","NMAH-NMAH2000-07013")</f>
        <v>NMAH-NMAH2000-07013</v>
      </c>
      <c r="B586" s="3" t="s">
        <v>1724</v>
      </c>
      <c r="C586" s="3">
        <v>1299443</v>
      </c>
      <c r="D586" s="3" t="s">
        <v>1716</v>
      </c>
      <c r="E586" s="4" t="s">
        <v>1725</v>
      </c>
      <c r="F586" t="s">
        <v>439</v>
      </c>
      <c r="G586">
        <v>0.92628985643386841</v>
      </c>
      <c r="H586" t="s">
        <v>692</v>
      </c>
      <c r="I586">
        <v>0.86384904384613037</v>
      </c>
      <c r="J586" t="s">
        <v>441</v>
      </c>
      <c r="K586" s="4">
        <v>0.79021149873733521</v>
      </c>
      <c r="L586" t="s">
        <v>442</v>
      </c>
      <c r="M586">
        <v>0.50409912999999995</v>
      </c>
      <c r="N586" t="s">
        <v>599</v>
      </c>
      <c r="O586">
        <v>8.0174510000000004E-2</v>
      </c>
      <c r="P586" t="s">
        <v>638</v>
      </c>
      <c r="Q586" s="4">
        <v>2.8256519000000001E-2</v>
      </c>
      <c r="R586" t="s">
        <v>1426</v>
      </c>
      <c r="S586">
        <v>0.45924562000000002</v>
      </c>
      <c r="T586" t="s">
        <v>1427</v>
      </c>
      <c r="U586">
        <v>0.24100472000000001</v>
      </c>
      <c r="V586" t="s">
        <v>599</v>
      </c>
      <c r="W586">
        <v>0.13227548</v>
      </c>
    </row>
    <row r="587" spans="1:23" x14ac:dyDescent="0.25">
      <c r="A587" s="3" t="str">
        <f>HYPERLINK("http://ids.si.edu/ids/deliveryService?id=NMAH-AHB2013q043561","NMAH-AHB2013q043561")</f>
        <v>NMAH-AHB2013q043561</v>
      </c>
      <c r="B587" s="3" t="s">
        <v>1726</v>
      </c>
      <c r="C587" s="3">
        <v>1437150</v>
      </c>
      <c r="D587" s="3" t="s">
        <v>1716</v>
      </c>
      <c r="E587" s="4" t="s">
        <v>1727</v>
      </c>
      <c r="F587" t="s">
        <v>49</v>
      </c>
      <c r="G587">
        <v>0.90334552526473999</v>
      </c>
      <c r="H587" t="s">
        <v>196</v>
      </c>
      <c r="I587">
        <v>0.8216850757598877</v>
      </c>
      <c r="J587" t="s">
        <v>112</v>
      </c>
      <c r="K587" s="4">
        <v>0.80401664972305298</v>
      </c>
      <c r="L587" t="s">
        <v>336</v>
      </c>
      <c r="M587">
        <v>0.69439019999999996</v>
      </c>
      <c r="N587" t="s">
        <v>1728</v>
      </c>
      <c r="O587">
        <v>6.2825839999999994E-2</v>
      </c>
      <c r="P587" t="s">
        <v>259</v>
      </c>
      <c r="Q587" s="4">
        <v>2.232433E-2</v>
      </c>
      <c r="R587" t="s">
        <v>336</v>
      </c>
      <c r="S587">
        <v>0.23947473</v>
      </c>
      <c r="T587" t="s">
        <v>369</v>
      </c>
      <c r="U587">
        <v>0.114238776</v>
      </c>
      <c r="V587" t="s">
        <v>706</v>
      </c>
      <c r="W587">
        <v>9.6884929999999994E-2</v>
      </c>
    </row>
    <row r="588" spans="1:23" x14ac:dyDescent="0.25">
      <c r="A588" s="3" t="str">
        <f>HYPERLINK("http://ids.si.edu/ids/deliveryService?id=NMAH-AHB2013q043751","NMAH-AHB2013q043751")</f>
        <v>NMAH-AHB2013q043751</v>
      </c>
      <c r="B588" s="3" t="s">
        <v>1729</v>
      </c>
      <c r="C588" s="3">
        <v>1437223</v>
      </c>
      <c r="D588" s="3" t="s">
        <v>1716</v>
      </c>
      <c r="E588" s="4" t="s">
        <v>336</v>
      </c>
      <c r="F588" t="s">
        <v>49</v>
      </c>
      <c r="G588">
        <v>0.80065858364105225</v>
      </c>
      <c r="H588" t="s">
        <v>50</v>
      </c>
      <c r="I588">
        <v>0.5114516019821167</v>
      </c>
      <c r="L588" t="s">
        <v>336</v>
      </c>
      <c r="M588">
        <v>0.54958209999999996</v>
      </c>
      <c r="N588" t="s">
        <v>149</v>
      </c>
      <c r="O588">
        <v>0.40272799999999997</v>
      </c>
      <c r="P588" t="s">
        <v>1099</v>
      </c>
      <c r="Q588" s="4">
        <v>7.5098406999999992E-3</v>
      </c>
      <c r="R588" t="s">
        <v>149</v>
      </c>
      <c r="S588">
        <v>0.29731350000000001</v>
      </c>
      <c r="T588" t="s">
        <v>175</v>
      </c>
      <c r="U588">
        <v>6.2996969999999999E-2</v>
      </c>
      <c r="V588" t="s">
        <v>53</v>
      </c>
      <c r="W588">
        <v>5.0089232999999997E-2</v>
      </c>
    </row>
    <row r="589" spans="1:23" x14ac:dyDescent="0.25">
      <c r="A589" s="3" t="str">
        <f>HYPERLINK("http://ids.si.edu/ids/deliveryService?id=NMAH-AHB2013q045560","NMAH-AHB2013q045560")</f>
        <v>NMAH-AHB2013q045560</v>
      </c>
      <c r="B589" s="3" t="s">
        <v>1730</v>
      </c>
      <c r="C589" s="3">
        <v>1438325</v>
      </c>
      <c r="D589" s="3" t="s">
        <v>1716</v>
      </c>
      <c r="E589" s="4" t="s">
        <v>1731</v>
      </c>
      <c r="F589" t="s">
        <v>61</v>
      </c>
      <c r="G589">
        <v>0.86929196119308472</v>
      </c>
      <c r="H589" t="s">
        <v>1016</v>
      </c>
      <c r="I589">
        <v>0.6991998553276062</v>
      </c>
      <c r="J589" t="s">
        <v>112</v>
      </c>
      <c r="K589" s="4">
        <v>0.68572378158569336</v>
      </c>
      <c r="L589" t="s">
        <v>336</v>
      </c>
      <c r="M589">
        <v>0.16516963000000001</v>
      </c>
      <c r="N589" t="s">
        <v>63</v>
      </c>
      <c r="O589">
        <v>0.10432010999999999</v>
      </c>
      <c r="P589" t="s">
        <v>53</v>
      </c>
      <c r="Q589" s="4">
        <v>8.9115754000000005E-2</v>
      </c>
      <c r="R589" t="s">
        <v>336</v>
      </c>
      <c r="S589">
        <v>0.32612390000000002</v>
      </c>
      <c r="T589" t="s">
        <v>83</v>
      </c>
      <c r="U589">
        <v>6.404699400000001E-2</v>
      </c>
      <c r="V589" t="s">
        <v>159</v>
      </c>
      <c r="W589">
        <v>4.4386316000000002E-2</v>
      </c>
    </row>
    <row r="590" spans="1:23" x14ac:dyDescent="0.25">
      <c r="A590" s="3" t="str">
        <f>HYPERLINK("http://ids.si.edu/ids/deliveryService?id=SIA-79-1661","SIA-79-1661")</f>
        <v>SIA-79-1661</v>
      </c>
      <c r="B590" s="3" t="s">
        <v>1732</v>
      </c>
      <c r="C590" s="3">
        <v>843021</v>
      </c>
      <c r="D590" s="3" t="s">
        <v>1716</v>
      </c>
      <c r="E590" s="4" t="s">
        <v>1733</v>
      </c>
      <c r="F590" t="s">
        <v>1734</v>
      </c>
      <c r="G590">
        <v>0.99093550443649292</v>
      </c>
      <c r="H590" t="s">
        <v>1735</v>
      </c>
      <c r="I590">
        <v>0.99054467678070068</v>
      </c>
      <c r="J590" t="s">
        <v>1736</v>
      </c>
      <c r="K590" s="4">
        <v>0.98740494251251221</v>
      </c>
      <c r="L590" t="s">
        <v>350</v>
      </c>
      <c r="M590">
        <v>0.26464336999999999</v>
      </c>
      <c r="N590" t="s">
        <v>349</v>
      </c>
      <c r="O590">
        <v>0.17695379999999999</v>
      </c>
      <c r="P590" t="s">
        <v>351</v>
      </c>
      <c r="Q590" s="4">
        <v>0.16862924000000001</v>
      </c>
      <c r="R590" t="s">
        <v>29</v>
      </c>
      <c r="S590">
        <v>0.40322750000000002</v>
      </c>
      <c r="T590" t="s">
        <v>305</v>
      </c>
      <c r="U590">
        <v>0.18429437000000001</v>
      </c>
      <c r="V590" t="s">
        <v>183</v>
      </c>
      <c r="W590">
        <v>5.9407069999999999E-2</v>
      </c>
    </row>
    <row r="591" spans="1:23" x14ac:dyDescent="0.25">
      <c r="A591" s="3" t="str">
        <f>HYPERLINK("http://ids.si.edu/ids/deliveryService?id=NMAH-NMAH2002-32893","NMAH-NMAH2002-32893")</f>
        <v>NMAH-NMAH2002-32893</v>
      </c>
      <c r="B591" s="3" t="s">
        <v>1737</v>
      </c>
      <c r="C591" s="3">
        <v>713542</v>
      </c>
      <c r="D591" s="3" t="s">
        <v>1716</v>
      </c>
      <c r="E591" s="4" t="s">
        <v>1717</v>
      </c>
      <c r="F591" t="s">
        <v>1738</v>
      </c>
      <c r="G591">
        <v>0.88711923360824585</v>
      </c>
      <c r="H591" t="s">
        <v>1090</v>
      </c>
      <c r="I591">
        <v>0.53105562925338745</v>
      </c>
      <c r="J591" t="s">
        <v>1089</v>
      </c>
      <c r="K591" s="4">
        <v>0.51883965730667114</v>
      </c>
      <c r="L591" t="s">
        <v>784</v>
      </c>
      <c r="M591">
        <v>0.24992054999999999</v>
      </c>
      <c r="N591" t="s">
        <v>464</v>
      </c>
      <c r="O591">
        <v>0.19937055000000001</v>
      </c>
      <c r="P591" t="s">
        <v>923</v>
      </c>
      <c r="Q591" s="4">
        <v>6.7697345999999992E-2</v>
      </c>
      <c r="R591" t="s">
        <v>857</v>
      </c>
      <c r="S591">
        <v>0.24014110999999999</v>
      </c>
      <c r="T591" t="s">
        <v>853</v>
      </c>
      <c r="U591">
        <v>0.12602530000000001</v>
      </c>
      <c r="V591" t="s">
        <v>464</v>
      </c>
      <c r="W591">
        <v>9.3176729999999999E-2</v>
      </c>
    </row>
    <row r="592" spans="1:23" x14ac:dyDescent="0.25">
      <c r="A592" s="3" t="str">
        <f>HYPERLINK("http://ids.si.edu/ids/deliveryService?id=NMAH-AHB2012q12718","NMAH-AHB2012q12718")</f>
        <v>NMAH-AHB2012q12718</v>
      </c>
      <c r="B592" s="3" t="s">
        <v>1739</v>
      </c>
      <c r="C592" s="3">
        <v>1378203</v>
      </c>
      <c r="D592" s="3" t="s">
        <v>1716</v>
      </c>
      <c r="E592" s="4" t="s">
        <v>842</v>
      </c>
      <c r="F592" t="s">
        <v>112</v>
      </c>
      <c r="G592">
        <v>0.68572378158569336</v>
      </c>
      <c r="H592" t="s">
        <v>486</v>
      </c>
      <c r="I592">
        <v>0.60440236330032349</v>
      </c>
      <c r="J592" t="s">
        <v>1224</v>
      </c>
      <c r="K592" s="4">
        <v>0.57126414775848389</v>
      </c>
      <c r="L592" t="s">
        <v>66</v>
      </c>
      <c r="M592">
        <v>0.10808377</v>
      </c>
      <c r="N592" t="s">
        <v>813</v>
      </c>
      <c r="O592">
        <v>9.3027310000000002E-2</v>
      </c>
      <c r="P592" t="s">
        <v>189</v>
      </c>
      <c r="Q592" s="4">
        <v>8.6889914999999998E-2</v>
      </c>
      <c r="R592" t="s">
        <v>813</v>
      </c>
      <c r="S592">
        <v>0.22893383</v>
      </c>
      <c r="T592" t="s">
        <v>31</v>
      </c>
      <c r="U592">
        <v>7.5151499999999996E-2</v>
      </c>
      <c r="V592" t="s">
        <v>303</v>
      </c>
      <c r="W592">
        <v>6.5076789999999995E-2</v>
      </c>
    </row>
    <row r="593" spans="1:23" x14ac:dyDescent="0.25">
      <c r="A593" s="3" t="str">
        <f>HYPERLINK("http://ids.si.edu/ids/deliveryService?id=NMAH-RWS2011-01622","NMAH-RWS2011-01622")</f>
        <v>NMAH-RWS2011-01622</v>
      </c>
      <c r="B593" s="3" t="s">
        <v>1740</v>
      </c>
      <c r="C593" s="3">
        <v>847287</v>
      </c>
      <c r="D593" s="3" t="s">
        <v>1716</v>
      </c>
      <c r="E593" s="4" t="s">
        <v>1741</v>
      </c>
      <c r="F593" t="s">
        <v>26</v>
      </c>
      <c r="G593">
        <v>0.81833291053771973</v>
      </c>
      <c r="H593" t="s">
        <v>558</v>
      </c>
      <c r="I593">
        <v>0.74021852016448975</v>
      </c>
      <c r="J593" t="s">
        <v>70</v>
      </c>
      <c r="K593" s="4">
        <v>0.62969201803207397</v>
      </c>
      <c r="L593" t="s">
        <v>1427</v>
      </c>
      <c r="M593">
        <v>0.39516178000000002</v>
      </c>
      <c r="N593" t="s">
        <v>1426</v>
      </c>
      <c r="O593">
        <v>0.31496212000000001</v>
      </c>
      <c r="P593" t="s">
        <v>599</v>
      </c>
      <c r="Q593" s="4">
        <v>7.5735510000000006E-2</v>
      </c>
      <c r="R593" t="s">
        <v>330</v>
      </c>
      <c r="S593">
        <v>0.16673112000000001</v>
      </c>
      <c r="T593" t="s">
        <v>1426</v>
      </c>
      <c r="U593">
        <v>0.15876113</v>
      </c>
      <c r="V593" t="s">
        <v>1427</v>
      </c>
      <c r="W593">
        <v>0.13227079999999999</v>
      </c>
    </row>
    <row r="594" spans="1:23" x14ac:dyDescent="0.25">
      <c r="A594" s="3" t="str">
        <f>HYPERLINK("http://ids.si.edu/ids/deliveryService?id=NMAH-MAH-26973","NMAH-MAH-26973")</f>
        <v>NMAH-MAH-26973</v>
      </c>
      <c r="B594" s="3" t="s">
        <v>1742</v>
      </c>
      <c r="C594" s="3">
        <v>1189342</v>
      </c>
      <c r="D594" s="3" t="s">
        <v>1716</v>
      </c>
      <c r="E594" s="4" t="s">
        <v>1743</v>
      </c>
      <c r="F594" t="s">
        <v>736</v>
      </c>
      <c r="G594">
        <v>0.95944476127624512</v>
      </c>
      <c r="H594" t="s">
        <v>61</v>
      </c>
      <c r="I594">
        <v>0.93413996696472168</v>
      </c>
      <c r="J594" t="s">
        <v>76</v>
      </c>
      <c r="K594" s="4">
        <v>0.81578439474105835</v>
      </c>
      <c r="L594" t="s">
        <v>1111</v>
      </c>
      <c r="M594">
        <v>0.84534794000000002</v>
      </c>
      <c r="N594" t="s">
        <v>1023</v>
      </c>
      <c r="O594">
        <v>3.8723505999999998E-2</v>
      </c>
      <c r="P594" t="s">
        <v>1700</v>
      </c>
      <c r="Q594" s="4">
        <v>1.9993657000000001E-2</v>
      </c>
      <c r="R594" t="s">
        <v>1700</v>
      </c>
      <c r="S594">
        <v>0.28231242000000001</v>
      </c>
      <c r="T594" t="s">
        <v>1111</v>
      </c>
      <c r="U594">
        <v>9.2926540000000002E-2</v>
      </c>
      <c r="V594" t="s">
        <v>784</v>
      </c>
      <c r="W594">
        <v>6.2661649999999999E-2</v>
      </c>
    </row>
    <row r="595" spans="1:23" x14ac:dyDescent="0.25">
      <c r="A595" s="3" t="str">
        <f>HYPERLINK("http://ids.si.edu/ids/deliveryService?id=NMAH-RWS2011-01631","NMAH-RWS2011-01631")</f>
        <v>NMAH-RWS2011-01631</v>
      </c>
      <c r="B595" s="3" t="s">
        <v>1744</v>
      </c>
      <c r="C595" s="3">
        <v>847276</v>
      </c>
      <c r="D595" s="3" t="s">
        <v>1716</v>
      </c>
      <c r="E595" s="4" t="s">
        <v>1741</v>
      </c>
      <c r="F595" t="s">
        <v>91</v>
      </c>
      <c r="G595">
        <v>0.88283330202102661</v>
      </c>
      <c r="H595" t="s">
        <v>178</v>
      </c>
      <c r="I595">
        <v>0.85536015033721924</v>
      </c>
      <c r="J595" t="s">
        <v>256</v>
      </c>
      <c r="K595" s="4">
        <v>0.82567846775054932</v>
      </c>
      <c r="L595" t="s">
        <v>225</v>
      </c>
      <c r="M595">
        <v>0.16306466</v>
      </c>
      <c r="N595" t="s">
        <v>182</v>
      </c>
      <c r="O595">
        <v>0.114761285</v>
      </c>
      <c r="P595" t="s">
        <v>571</v>
      </c>
      <c r="Q595" s="4">
        <v>0.11123777</v>
      </c>
      <c r="R595" t="s">
        <v>184</v>
      </c>
      <c r="S595">
        <v>0.29217058000000001</v>
      </c>
      <c r="T595" t="s">
        <v>673</v>
      </c>
      <c r="U595">
        <v>0.18241699</v>
      </c>
      <c r="V595" t="s">
        <v>571</v>
      </c>
      <c r="W595">
        <v>9.8361924000000003E-2</v>
      </c>
    </row>
    <row r="596" spans="1:23" x14ac:dyDescent="0.25">
      <c r="A596" s="3" t="str">
        <f>HYPERLINK("http://ids.si.edu/ids/deliveryService?id=NMAH-AHB2012q26484","NMAH-AHB2012q26484")</f>
        <v>NMAH-AHB2012q26484</v>
      </c>
      <c r="B596" s="3" t="s">
        <v>1745</v>
      </c>
      <c r="C596" s="3">
        <v>850021</v>
      </c>
      <c r="D596" s="3" t="s">
        <v>1716</v>
      </c>
      <c r="E596" s="4" t="s">
        <v>1722</v>
      </c>
      <c r="F596" t="s">
        <v>596</v>
      </c>
      <c r="G596">
        <v>0.87791866064071655</v>
      </c>
      <c r="H596" t="s">
        <v>1723</v>
      </c>
      <c r="I596">
        <v>0.8087802529335022</v>
      </c>
      <c r="J596" t="s">
        <v>636</v>
      </c>
      <c r="K596" s="4">
        <v>0.72428059577941895</v>
      </c>
      <c r="L596" t="s">
        <v>598</v>
      </c>
      <c r="M596">
        <v>0.70332485</v>
      </c>
      <c r="N596" t="s">
        <v>597</v>
      </c>
      <c r="O596">
        <v>0.28087324000000002</v>
      </c>
      <c r="P596" t="s">
        <v>969</v>
      </c>
      <c r="Q596" s="4">
        <v>5.4845709999999997E-3</v>
      </c>
      <c r="R596" t="s">
        <v>598</v>
      </c>
      <c r="S596">
        <v>0.65941817000000003</v>
      </c>
      <c r="T596" t="s">
        <v>597</v>
      </c>
      <c r="U596">
        <v>0.31256040000000002</v>
      </c>
      <c r="V596" t="s">
        <v>330</v>
      </c>
      <c r="W596">
        <v>1.0682018499999999E-2</v>
      </c>
    </row>
    <row r="597" spans="1:23" x14ac:dyDescent="0.25">
      <c r="A597" s="3" t="str">
        <f>HYPERLINK("http://ids.si.edu/ids/deliveryService?id=NMAH-AHB2009q18103-000001","NMAH-AHB2009q18103-000001")</f>
        <v>NMAH-AHB2009q18103-000001</v>
      </c>
      <c r="B597" s="3" t="s">
        <v>1746</v>
      </c>
      <c r="C597" s="3">
        <v>1344605</v>
      </c>
      <c r="D597" s="3" t="s">
        <v>1716</v>
      </c>
      <c r="E597" s="4" t="s">
        <v>1747</v>
      </c>
      <c r="F597" t="s">
        <v>439</v>
      </c>
      <c r="G597">
        <v>0.93036735057830811</v>
      </c>
      <c r="H597" t="s">
        <v>441</v>
      </c>
      <c r="I597">
        <v>0.84457933902740479</v>
      </c>
      <c r="J597" t="s">
        <v>615</v>
      </c>
      <c r="K597" s="4">
        <v>0.80799359083175659</v>
      </c>
      <c r="L597" t="s">
        <v>1426</v>
      </c>
      <c r="M597">
        <v>0.30994967000000001</v>
      </c>
      <c r="N597" t="s">
        <v>1748</v>
      </c>
      <c r="O597">
        <v>0.14420350000000001</v>
      </c>
      <c r="P597" t="s">
        <v>528</v>
      </c>
      <c r="Q597" s="4">
        <v>0.124815695</v>
      </c>
      <c r="R597" t="s">
        <v>1426</v>
      </c>
      <c r="S597">
        <v>0.27619959999999999</v>
      </c>
      <c r="T597" t="s">
        <v>1427</v>
      </c>
      <c r="U597">
        <v>0.15627946000000001</v>
      </c>
      <c r="V597" t="s">
        <v>599</v>
      </c>
      <c r="W597">
        <v>0.14331820000000001</v>
      </c>
    </row>
    <row r="598" spans="1:23" x14ac:dyDescent="0.25">
      <c r="A598" s="3" t="str">
        <f>HYPERLINK("http://ids.si.edu/ids/deliveryService?id=NMAH-AHB2017q069785","NMAH-AHB2017q069785")</f>
        <v>NMAH-AHB2017q069785</v>
      </c>
      <c r="B598" s="3" t="s">
        <v>1749</v>
      </c>
      <c r="C598" s="3">
        <v>1341361</v>
      </c>
      <c r="D598" s="3" t="s">
        <v>1716</v>
      </c>
      <c r="E598" s="4" t="s">
        <v>1750</v>
      </c>
      <c r="F598" t="s">
        <v>91</v>
      </c>
      <c r="G598">
        <v>0.88283330202102661</v>
      </c>
      <c r="H598" t="s">
        <v>439</v>
      </c>
      <c r="I598">
        <v>0.62164807319641113</v>
      </c>
      <c r="J598" t="s">
        <v>297</v>
      </c>
      <c r="K598" s="4">
        <v>0.52811861038208008</v>
      </c>
      <c r="L598" t="s">
        <v>460</v>
      </c>
      <c r="M598">
        <v>0.38025334</v>
      </c>
      <c r="N598" t="s">
        <v>261</v>
      </c>
      <c r="O598">
        <v>8.1826955000000007E-2</v>
      </c>
      <c r="P598" t="s">
        <v>149</v>
      </c>
      <c r="Q598" s="4">
        <v>4.1830440000000003E-2</v>
      </c>
      <c r="R598" t="s">
        <v>149</v>
      </c>
      <c r="S598">
        <v>0.36333244999999997</v>
      </c>
      <c r="T598" t="s">
        <v>460</v>
      </c>
      <c r="U598">
        <v>0.24037148</v>
      </c>
      <c r="V598" t="s">
        <v>336</v>
      </c>
      <c r="W598">
        <v>7.9210710000000004E-2</v>
      </c>
    </row>
    <row r="599" spans="1:23" x14ac:dyDescent="0.25">
      <c r="A599" s="3" t="str">
        <f>HYPERLINK("http://ids.si.edu/ids/deliveryService?id=NMAH-AHB2017q063508","NMAH-AHB2017q063508")</f>
        <v>NMAH-AHB2017q063508</v>
      </c>
      <c r="B599" s="3" t="s">
        <v>1751</v>
      </c>
      <c r="C599" s="3">
        <v>1823407</v>
      </c>
      <c r="D599" s="3" t="s">
        <v>1716</v>
      </c>
      <c r="E599" s="4" t="s">
        <v>279</v>
      </c>
      <c r="F599" t="s">
        <v>90</v>
      </c>
      <c r="G599">
        <v>0.91708314418792725</v>
      </c>
      <c r="H599" t="s">
        <v>1752</v>
      </c>
      <c r="I599">
        <v>0.85102778673171997</v>
      </c>
      <c r="J599" t="s">
        <v>1753</v>
      </c>
      <c r="K599" s="4">
        <v>0.81210792064666748</v>
      </c>
      <c r="L599" t="s">
        <v>233</v>
      </c>
      <c r="M599">
        <v>0.50817853000000002</v>
      </c>
      <c r="N599" t="s">
        <v>502</v>
      </c>
      <c r="O599">
        <v>0.2289612</v>
      </c>
      <c r="P599" t="s">
        <v>668</v>
      </c>
      <c r="Q599" s="4">
        <v>7.0762320000000004E-2</v>
      </c>
      <c r="R599" t="s">
        <v>233</v>
      </c>
      <c r="S599">
        <v>0.52892755999999996</v>
      </c>
      <c r="T599" t="s">
        <v>502</v>
      </c>
      <c r="U599">
        <v>0.33762732000000001</v>
      </c>
      <c r="V599" t="s">
        <v>232</v>
      </c>
      <c r="W599">
        <v>4.048185E-2</v>
      </c>
    </row>
    <row r="600" spans="1:23" x14ac:dyDescent="0.25">
      <c r="A600" s="3" t="str">
        <f>HYPERLINK("http://ids.si.edu/ids/deliveryService?id=NMAH-AHB2013q043361","NMAH-AHB2013q043361")</f>
        <v>NMAH-AHB2013q043361</v>
      </c>
      <c r="B600" s="3" t="s">
        <v>1754</v>
      </c>
      <c r="C600" s="3">
        <v>1437663</v>
      </c>
      <c r="D600" s="3" t="s">
        <v>1716</v>
      </c>
      <c r="E600" s="4" t="s">
        <v>1727</v>
      </c>
      <c r="F600" t="s">
        <v>49</v>
      </c>
      <c r="G600">
        <v>0.86987817287445068</v>
      </c>
      <c r="H600" t="s">
        <v>196</v>
      </c>
      <c r="I600">
        <v>0.85374999046325684</v>
      </c>
      <c r="J600" t="s">
        <v>50</v>
      </c>
      <c r="K600" s="4">
        <v>0.77767759561538696</v>
      </c>
      <c r="L600" t="s">
        <v>460</v>
      </c>
      <c r="M600">
        <v>0.38563789999999998</v>
      </c>
      <c r="N600" t="s">
        <v>571</v>
      </c>
      <c r="O600">
        <v>7.0146210000000001E-2</v>
      </c>
      <c r="P600" t="s">
        <v>79</v>
      </c>
      <c r="Q600" s="4">
        <v>4.3426987E-2</v>
      </c>
      <c r="R600" t="s">
        <v>31</v>
      </c>
      <c r="S600">
        <v>6.5519620000000001E-2</v>
      </c>
      <c r="T600" t="s">
        <v>443</v>
      </c>
      <c r="U600">
        <v>6.4925419999999998E-2</v>
      </c>
      <c r="V600" t="s">
        <v>334</v>
      </c>
      <c r="W600">
        <v>5.362422E-2</v>
      </c>
    </row>
    <row r="601" spans="1:23" x14ac:dyDescent="0.25">
      <c r="A601" s="3" t="str">
        <f>HYPERLINK("http://ids.si.edu/ids/deliveryService?id=NMAH-AHB2013q044411","NMAH-AHB2013q044411")</f>
        <v>NMAH-AHB2013q044411</v>
      </c>
      <c r="B601" s="3" t="s">
        <v>1755</v>
      </c>
      <c r="C601" s="3">
        <v>1437430</v>
      </c>
      <c r="D601" s="3" t="s">
        <v>1716</v>
      </c>
      <c r="E601" s="4" t="s">
        <v>1756</v>
      </c>
      <c r="F601" t="s">
        <v>91</v>
      </c>
      <c r="G601">
        <v>0.91031128168106079</v>
      </c>
      <c r="H601" t="s">
        <v>1757</v>
      </c>
      <c r="I601">
        <v>0.90410786867141724</v>
      </c>
      <c r="J601" t="s">
        <v>1758</v>
      </c>
      <c r="K601" s="4">
        <v>0.85210537910461426</v>
      </c>
      <c r="L601" t="s">
        <v>149</v>
      </c>
      <c r="M601">
        <v>0.64219309999999996</v>
      </c>
      <c r="N601" t="s">
        <v>336</v>
      </c>
      <c r="O601">
        <v>0.26629979999999998</v>
      </c>
      <c r="P601" t="s">
        <v>1052</v>
      </c>
      <c r="Q601" s="4">
        <v>2.5326857000000001E-2</v>
      </c>
      <c r="R601" t="s">
        <v>336</v>
      </c>
      <c r="S601">
        <v>0.40666613000000001</v>
      </c>
      <c r="T601" t="s">
        <v>149</v>
      </c>
      <c r="U601">
        <v>0.19787179999999999</v>
      </c>
      <c r="V601" t="s">
        <v>706</v>
      </c>
      <c r="W601">
        <v>3.9101629999999998E-2</v>
      </c>
    </row>
    <row r="602" spans="1:23" x14ac:dyDescent="0.25">
      <c r="A602" s="3" t="str">
        <f>HYPERLINK("http://ids.si.edu/ids/deliveryService?id=NMAH-AHB2013q044005","NMAH-AHB2013q044005")</f>
        <v>NMAH-AHB2013q044005</v>
      </c>
      <c r="B602" s="3" t="s">
        <v>1759</v>
      </c>
      <c r="C602" s="3">
        <v>1438055</v>
      </c>
      <c r="D602" s="3" t="s">
        <v>1716</v>
      </c>
      <c r="E602" s="4" t="s">
        <v>1727</v>
      </c>
      <c r="F602" t="s">
        <v>112</v>
      </c>
      <c r="G602">
        <v>0.68572378158569336</v>
      </c>
      <c r="H602" t="s">
        <v>50</v>
      </c>
      <c r="I602">
        <v>0.6591346263885498</v>
      </c>
      <c r="J602" t="s">
        <v>188</v>
      </c>
      <c r="K602" s="4">
        <v>0.57736802101135254</v>
      </c>
      <c r="L602" t="s">
        <v>336</v>
      </c>
      <c r="M602">
        <v>0.13695937</v>
      </c>
      <c r="N602" t="s">
        <v>66</v>
      </c>
      <c r="O602">
        <v>8.8048180000000004E-2</v>
      </c>
      <c r="P602" t="s">
        <v>571</v>
      </c>
      <c r="Q602" s="4">
        <v>7.7666540000000006E-2</v>
      </c>
      <c r="R602" t="s">
        <v>159</v>
      </c>
      <c r="S602">
        <v>0.12940322000000001</v>
      </c>
      <c r="T602" t="s">
        <v>706</v>
      </c>
      <c r="U602">
        <v>0.11345192</v>
      </c>
      <c r="V602" t="s">
        <v>157</v>
      </c>
      <c r="W602">
        <v>5.6204135999999988E-2</v>
      </c>
    </row>
    <row r="603" spans="1:23" x14ac:dyDescent="0.25">
      <c r="A603" s="3" t="str">
        <f>HYPERLINK("http://ids.si.edu/ids/deliveryService?id=NMAH-AHB2013q044893","NMAH-AHB2013q044893")</f>
        <v>NMAH-AHB2013q044893</v>
      </c>
      <c r="B603" s="3" t="s">
        <v>1760</v>
      </c>
      <c r="C603" s="3">
        <v>1438269</v>
      </c>
      <c r="D603" s="3" t="s">
        <v>1716</v>
      </c>
      <c r="E603" s="4" t="s">
        <v>1761</v>
      </c>
      <c r="F603" t="s">
        <v>50</v>
      </c>
      <c r="G603">
        <v>0.81503552198410034</v>
      </c>
      <c r="H603" t="s">
        <v>188</v>
      </c>
      <c r="I603">
        <v>0.77594387531280518</v>
      </c>
      <c r="J603" t="s">
        <v>49</v>
      </c>
      <c r="K603" s="4">
        <v>0.73051947355270386</v>
      </c>
      <c r="L603" t="s">
        <v>336</v>
      </c>
      <c r="M603">
        <v>0.48015422000000002</v>
      </c>
      <c r="N603" t="s">
        <v>202</v>
      </c>
      <c r="O603">
        <v>6.8255029999999994E-2</v>
      </c>
      <c r="P603" t="s">
        <v>570</v>
      </c>
      <c r="Q603" s="4">
        <v>4.1489395999999998E-2</v>
      </c>
      <c r="R603" t="s">
        <v>175</v>
      </c>
      <c r="S603">
        <v>0.10920836</v>
      </c>
      <c r="T603" t="s">
        <v>159</v>
      </c>
      <c r="U603">
        <v>0.10871793</v>
      </c>
      <c r="V603" t="s">
        <v>83</v>
      </c>
      <c r="W603">
        <v>9.3593754000000001E-2</v>
      </c>
    </row>
    <row r="604" spans="1:23" x14ac:dyDescent="0.25">
      <c r="A604" s="3" t="str">
        <f>HYPERLINK("http://ids.si.edu/ids/deliveryService?id=NMAH-AHB2013q044395","NMAH-AHB2013q044395")</f>
        <v>NMAH-AHB2013q044395</v>
      </c>
      <c r="B604" s="3" t="s">
        <v>1762</v>
      </c>
      <c r="C604" s="3">
        <v>1437409</v>
      </c>
      <c r="D604" s="3" t="s">
        <v>1716</v>
      </c>
      <c r="E604" s="4" t="s">
        <v>1763</v>
      </c>
      <c r="F604" t="s">
        <v>112</v>
      </c>
      <c r="G604">
        <v>0.68572378158569336</v>
      </c>
      <c r="H604" t="s">
        <v>50</v>
      </c>
      <c r="I604">
        <v>0.6591346263885498</v>
      </c>
      <c r="J604" t="s">
        <v>310</v>
      </c>
      <c r="K604" s="4">
        <v>0.63024073839187622</v>
      </c>
      <c r="L604" t="s">
        <v>336</v>
      </c>
      <c r="M604">
        <v>0.71474934000000001</v>
      </c>
      <c r="N604" t="s">
        <v>1093</v>
      </c>
      <c r="O604">
        <v>0.15548213</v>
      </c>
      <c r="P604" t="s">
        <v>174</v>
      </c>
      <c r="Q604" s="4">
        <v>3.3242019999999997E-2</v>
      </c>
      <c r="R604" t="s">
        <v>1093</v>
      </c>
      <c r="S604">
        <v>0.17099581999999999</v>
      </c>
      <c r="T604" t="s">
        <v>336</v>
      </c>
      <c r="U604">
        <v>0.11628007999999999</v>
      </c>
      <c r="V604" t="s">
        <v>1764</v>
      </c>
      <c r="W604">
        <v>9.427569999999999E-2</v>
      </c>
    </row>
    <row r="605" spans="1:23" x14ac:dyDescent="0.25">
      <c r="A605" s="3" t="str">
        <f>HYPERLINK("http://ids.si.edu/ids/deliveryService?id=NMAH-AHB2013q043713","NMAH-AHB2013q043713")</f>
        <v>NMAH-AHB2013q043713</v>
      </c>
      <c r="B605" s="3" t="s">
        <v>1765</v>
      </c>
      <c r="C605" s="3">
        <v>1437179</v>
      </c>
      <c r="D605" s="3" t="s">
        <v>1716</v>
      </c>
      <c r="E605" s="4" t="s">
        <v>1766</v>
      </c>
      <c r="F605" t="s">
        <v>112</v>
      </c>
      <c r="G605">
        <v>0.78258353471755981</v>
      </c>
      <c r="H605" t="s">
        <v>50</v>
      </c>
      <c r="I605">
        <v>0.5114516019821167</v>
      </c>
      <c r="J605" t="s">
        <v>38</v>
      </c>
      <c r="K605" s="4">
        <v>0.50473684072494507</v>
      </c>
      <c r="L605" t="s">
        <v>1099</v>
      </c>
      <c r="M605">
        <v>0.61344989999999999</v>
      </c>
      <c r="N605" t="s">
        <v>685</v>
      </c>
      <c r="O605">
        <v>4.3422807000000001E-2</v>
      </c>
      <c r="P605" t="s">
        <v>149</v>
      </c>
      <c r="Q605" s="4">
        <v>3.5384937999999998E-2</v>
      </c>
      <c r="R605" t="s">
        <v>95</v>
      </c>
      <c r="S605">
        <v>0.17367595</v>
      </c>
      <c r="T605" t="s">
        <v>84</v>
      </c>
      <c r="U605">
        <v>9.3922585000000003E-2</v>
      </c>
      <c r="V605" t="s">
        <v>157</v>
      </c>
      <c r="W605">
        <v>6.7310149999999999E-2</v>
      </c>
    </row>
    <row r="606" spans="1:23" x14ac:dyDescent="0.25">
      <c r="A606" s="3" t="str">
        <f>HYPERLINK("http://ids.si.edu/ids/deliveryService?id=NMAH-AHB2013q043437","NMAH-AHB2013q043437")</f>
        <v>NMAH-AHB2013q043437</v>
      </c>
      <c r="B606" s="3" t="s">
        <v>1767</v>
      </c>
      <c r="C606" s="3">
        <v>1437425</v>
      </c>
      <c r="D606" s="3" t="s">
        <v>1716</v>
      </c>
      <c r="E606" s="4" t="s">
        <v>1727</v>
      </c>
      <c r="F606" t="s">
        <v>1757</v>
      </c>
      <c r="G606">
        <v>0.56160664558410645</v>
      </c>
      <c r="H606" t="s">
        <v>50</v>
      </c>
      <c r="I606">
        <v>0.5114516019821167</v>
      </c>
      <c r="L606" t="s">
        <v>1052</v>
      </c>
      <c r="M606">
        <v>0.32952337999999998</v>
      </c>
      <c r="N606" t="s">
        <v>336</v>
      </c>
      <c r="O606">
        <v>0.17917565999999999</v>
      </c>
      <c r="P606" t="s">
        <v>149</v>
      </c>
      <c r="Q606" s="4">
        <v>5.9126419999999999E-2</v>
      </c>
      <c r="R606" t="s">
        <v>336</v>
      </c>
      <c r="S606">
        <v>0.69227517000000005</v>
      </c>
      <c r="T606" t="s">
        <v>149</v>
      </c>
      <c r="U606">
        <v>8.9895554000000003E-2</v>
      </c>
      <c r="V606" t="s">
        <v>93</v>
      </c>
      <c r="W606">
        <v>4.5831820000000002E-2</v>
      </c>
    </row>
    <row r="607" spans="1:23" x14ac:dyDescent="0.25">
      <c r="A607" s="3" t="str">
        <f>HYPERLINK("http://ids.si.edu/ids/deliveryService?id=NMAH-AHB2013q017411","NMAH-AHB2013q017411")</f>
        <v>NMAH-AHB2013q017411</v>
      </c>
      <c r="B607" s="3" t="s">
        <v>1768</v>
      </c>
      <c r="C607" s="3">
        <v>843435</v>
      </c>
      <c r="D607" s="3" t="s">
        <v>1716</v>
      </c>
      <c r="E607" s="4" t="s">
        <v>1769</v>
      </c>
      <c r="F607" t="s">
        <v>505</v>
      </c>
      <c r="G607">
        <v>0.90908235311508179</v>
      </c>
      <c r="H607" t="s">
        <v>62</v>
      </c>
      <c r="I607">
        <v>0.62534767389297485</v>
      </c>
      <c r="J607" t="s">
        <v>178</v>
      </c>
      <c r="K607" s="4">
        <v>0.5937383770942688</v>
      </c>
      <c r="L607" t="s">
        <v>53</v>
      </c>
      <c r="M607">
        <v>0.47638413000000002</v>
      </c>
      <c r="N607" t="s">
        <v>389</v>
      </c>
      <c r="O607">
        <v>0.14198548</v>
      </c>
      <c r="P607" t="s">
        <v>175</v>
      </c>
      <c r="Q607" s="4">
        <v>3.8702375999999997E-2</v>
      </c>
      <c r="R607" t="s">
        <v>389</v>
      </c>
      <c r="S607">
        <v>0.73761946</v>
      </c>
      <c r="T607" t="s">
        <v>141</v>
      </c>
      <c r="U607">
        <v>0.10800491</v>
      </c>
      <c r="V607" t="s">
        <v>175</v>
      </c>
      <c r="W607">
        <v>5.0835199999999997E-2</v>
      </c>
    </row>
    <row r="608" spans="1:23" x14ac:dyDescent="0.25">
      <c r="A608" s="3" t="str">
        <f>HYPERLINK("http://ids.si.edu/ids/deliveryService?id=NMAH-AHB2010q73267","NMAH-AHB2010q73267")</f>
        <v>NMAH-AHB2010q73267</v>
      </c>
      <c r="B608" s="3" t="s">
        <v>1770</v>
      </c>
      <c r="C608" s="3">
        <v>1121844</v>
      </c>
      <c r="D608" s="3" t="s">
        <v>1716</v>
      </c>
      <c r="E608" s="4" t="s">
        <v>1771</v>
      </c>
      <c r="F608" t="s">
        <v>91</v>
      </c>
      <c r="G608">
        <v>0.88283330202102661</v>
      </c>
      <c r="H608" t="s">
        <v>1150</v>
      </c>
      <c r="I608">
        <v>0.72704732418060303</v>
      </c>
      <c r="L608" t="s">
        <v>93</v>
      </c>
      <c r="M608">
        <v>0.97729969999999999</v>
      </c>
      <c r="N608" t="s">
        <v>35</v>
      </c>
      <c r="O608">
        <v>4.0534970000000014E-3</v>
      </c>
      <c r="P608" t="s">
        <v>87</v>
      </c>
      <c r="Q608" s="4">
        <v>3.3195150999999999E-3</v>
      </c>
      <c r="R608" t="s">
        <v>93</v>
      </c>
      <c r="S608">
        <v>0.66163450000000001</v>
      </c>
      <c r="T608" t="s">
        <v>571</v>
      </c>
      <c r="U608">
        <v>0.11884941</v>
      </c>
      <c r="V608" t="s">
        <v>149</v>
      </c>
      <c r="W608">
        <v>4.0162723999999997E-2</v>
      </c>
    </row>
    <row r="609" spans="1:23" x14ac:dyDescent="0.25">
      <c r="A609" s="3" t="str">
        <f>HYPERLINK("http://ids.si.edu/ids/deliveryService?id=NMAH-AHB2013q044176","NMAH-AHB2013q044176")</f>
        <v>NMAH-AHB2013q044176</v>
      </c>
      <c r="B609" s="3" t="s">
        <v>1772</v>
      </c>
      <c r="C609" s="3">
        <v>1437600</v>
      </c>
      <c r="D609" s="3" t="s">
        <v>1716</v>
      </c>
      <c r="E609" s="4" t="s">
        <v>1727</v>
      </c>
      <c r="F609" t="s">
        <v>196</v>
      </c>
      <c r="G609">
        <v>0.83283627033233643</v>
      </c>
      <c r="H609" t="s">
        <v>112</v>
      </c>
      <c r="I609">
        <v>0.81951183080673218</v>
      </c>
      <c r="J609" t="s">
        <v>301</v>
      </c>
      <c r="K609" s="4">
        <v>0.74089884757995605</v>
      </c>
      <c r="L609" t="s">
        <v>273</v>
      </c>
      <c r="M609">
        <v>0.14198730000000001</v>
      </c>
      <c r="N609" t="s">
        <v>369</v>
      </c>
      <c r="O609">
        <v>0.116892174</v>
      </c>
      <c r="P609" t="s">
        <v>183</v>
      </c>
      <c r="Q609" s="4">
        <v>6.5938819999999995E-2</v>
      </c>
      <c r="R609" t="s">
        <v>369</v>
      </c>
      <c r="S609">
        <v>5.4892429999999999E-2</v>
      </c>
      <c r="T609" t="s">
        <v>175</v>
      </c>
      <c r="U609">
        <v>3.6476173000000001E-2</v>
      </c>
      <c r="V609" t="s">
        <v>460</v>
      </c>
      <c r="W609">
        <v>2.9222735999999999E-2</v>
      </c>
    </row>
    <row r="610" spans="1:23" x14ac:dyDescent="0.25">
      <c r="A610" s="3" t="str">
        <f>HYPERLINK("http://ids.si.edu/ids/deliveryService?id=NMAH-AHB2013q043869","NMAH-AHB2013q043869")</f>
        <v>NMAH-AHB2013q043869</v>
      </c>
      <c r="B610" s="3" t="s">
        <v>1773</v>
      </c>
      <c r="C610" s="3">
        <v>1437280</v>
      </c>
      <c r="D610" s="3" t="s">
        <v>1716</v>
      </c>
      <c r="E610" s="4" t="s">
        <v>1727</v>
      </c>
      <c r="F610" t="s">
        <v>61</v>
      </c>
      <c r="G610">
        <v>0.90795594453811646</v>
      </c>
      <c r="H610" t="s">
        <v>132</v>
      </c>
      <c r="I610">
        <v>0.90210020542144775</v>
      </c>
      <c r="J610" t="s">
        <v>1774</v>
      </c>
      <c r="K610" s="4">
        <v>0.83200711011886597</v>
      </c>
      <c r="L610" t="s">
        <v>336</v>
      </c>
      <c r="M610">
        <v>0.104397446</v>
      </c>
      <c r="N610" t="s">
        <v>1151</v>
      </c>
      <c r="O610">
        <v>7.1633879999999997E-2</v>
      </c>
      <c r="P610" t="s">
        <v>66</v>
      </c>
      <c r="Q610" s="4">
        <v>6.9220729999999994E-2</v>
      </c>
      <c r="R610" t="s">
        <v>149</v>
      </c>
      <c r="S610">
        <v>0.23083702</v>
      </c>
      <c r="T610" t="s">
        <v>1438</v>
      </c>
      <c r="U610">
        <v>0.13041136</v>
      </c>
      <c r="V610" t="s">
        <v>151</v>
      </c>
      <c r="W610">
        <v>4.8830132999999998E-2</v>
      </c>
    </row>
    <row r="611" spans="1:23" x14ac:dyDescent="0.25">
      <c r="A611" s="3" t="str">
        <f>HYPERLINK("http://ids.si.edu/ids/deliveryService?id=NMAH-AHB2013q043771","NMAH-AHB2013q043771")</f>
        <v>NMAH-AHB2013q043771</v>
      </c>
      <c r="B611" s="3" t="s">
        <v>1775</v>
      </c>
      <c r="C611" s="3">
        <v>1437233</v>
      </c>
      <c r="D611" s="3" t="s">
        <v>1716</v>
      </c>
      <c r="E611" s="4" t="s">
        <v>336</v>
      </c>
      <c r="F611" t="s">
        <v>196</v>
      </c>
      <c r="G611">
        <v>0.85977363586425781</v>
      </c>
      <c r="H611" t="s">
        <v>1757</v>
      </c>
      <c r="I611">
        <v>0.81413263082504272</v>
      </c>
      <c r="J611" t="s">
        <v>49</v>
      </c>
      <c r="K611" s="4">
        <v>0.80211687088012695</v>
      </c>
      <c r="L611" t="s">
        <v>336</v>
      </c>
      <c r="M611">
        <v>0.99663440000000014</v>
      </c>
      <c r="N611" t="s">
        <v>1728</v>
      </c>
      <c r="O611">
        <v>5.7873039999999998E-4</v>
      </c>
      <c r="P611" t="s">
        <v>149</v>
      </c>
      <c r="Q611" s="4">
        <v>4.3195933999999999E-4</v>
      </c>
      <c r="R611" t="s">
        <v>336</v>
      </c>
      <c r="S611">
        <v>0.70033586000000003</v>
      </c>
      <c r="T611" t="s">
        <v>175</v>
      </c>
      <c r="U611">
        <v>0.11426935000000001</v>
      </c>
      <c r="V611" t="s">
        <v>706</v>
      </c>
      <c r="W611">
        <v>5.0712760000000003E-2</v>
      </c>
    </row>
    <row r="612" spans="1:23" x14ac:dyDescent="0.25">
      <c r="A612" s="3" t="str">
        <f>HYPERLINK("http://ids.si.edu/ids/deliveryService?id=NMAH-AHB2013q044351","NMAH-AHB2013q044351")</f>
        <v>NMAH-AHB2013q044351</v>
      </c>
      <c r="B612" s="3" t="s">
        <v>1776</v>
      </c>
      <c r="C612" s="3">
        <v>1437374</v>
      </c>
      <c r="D612" s="3" t="s">
        <v>1716</v>
      </c>
      <c r="E612" s="4" t="s">
        <v>1763</v>
      </c>
      <c r="F612" t="s">
        <v>132</v>
      </c>
      <c r="G612">
        <v>0.83633017539978027</v>
      </c>
      <c r="H612" t="s">
        <v>112</v>
      </c>
      <c r="I612">
        <v>0.80401664972305298</v>
      </c>
      <c r="J612" t="s">
        <v>1757</v>
      </c>
      <c r="K612" s="4">
        <v>0.70135599374771118</v>
      </c>
      <c r="L612" t="s">
        <v>149</v>
      </c>
      <c r="M612">
        <v>0.89522696000000002</v>
      </c>
      <c r="N612" t="s">
        <v>336</v>
      </c>
      <c r="O612">
        <v>9.8830080000000001E-2</v>
      </c>
      <c r="P612" t="s">
        <v>63</v>
      </c>
      <c r="Q612" s="4">
        <v>1.0483799E-3</v>
      </c>
      <c r="R612" t="s">
        <v>149</v>
      </c>
      <c r="S612">
        <v>0.4254116</v>
      </c>
      <c r="T612" t="s">
        <v>336</v>
      </c>
      <c r="U612">
        <v>0.28972617000000001</v>
      </c>
      <c r="V612" t="s">
        <v>148</v>
      </c>
      <c r="W612">
        <v>4.6777364000000002E-2</v>
      </c>
    </row>
    <row r="613" spans="1:23" x14ac:dyDescent="0.25">
      <c r="A613" s="3" t="str">
        <f>HYPERLINK("http://ids.si.edu/ids/deliveryService?id=NMAH-RWS2011-01915","NMAH-RWS2011-01915")</f>
        <v>NMAH-RWS2011-01915</v>
      </c>
      <c r="B613" s="3" t="s">
        <v>1777</v>
      </c>
      <c r="C613" s="3">
        <v>1404655</v>
      </c>
      <c r="D613" s="3" t="s">
        <v>1716</v>
      </c>
      <c r="E613" s="4" t="s">
        <v>1778</v>
      </c>
      <c r="F613" t="s">
        <v>1140</v>
      </c>
      <c r="G613">
        <v>0.99616271257400513</v>
      </c>
      <c r="H613" t="s">
        <v>281</v>
      </c>
      <c r="I613">
        <v>0.9903031587600708</v>
      </c>
      <c r="J613" t="s">
        <v>1779</v>
      </c>
      <c r="K613" s="4">
        <v>0.98553711175918579</v>
      </c>
      <c r="L613" t="s">
        <v>1780</v>
      </c>
      <c r="M613">
        <v>0.86760140000000008</v>
      </c>
      <c r="N613" t="s">
        <v>1236</v>
      </c>
      <c r="O613">
        <v>3.4013509999999997E-2</v>
      </c>
      <c r="P613" t="s">
        <v>282</v>
      </c>
      <c r="Q613" s="4">
        <v>2.8811389999999999E-2</v>
      </c>
      <c r="R613" t="s">
        <v>1780</v>
      </c>
      <c r="S613">
        <v>0.79659390000000008</v>
      </c>
      <c r="T613" t="s">
        <v>1236</v>
      </c>
      <c r="U613">
        <v>6.2925410000000001E-2</v>
      </c>
      <c r="V613" t="s">
        <v>284</v>
      </c>
      <c r="W613">
        <v>2.8905123000000001E-2</v>
      </c>
    </row>
    <row r="614" spans="1:23" x14ac:dyDescent="0.25">
      <c r="A614" s="3" t="str">
        <f>HYPERLINK("http://ids.si.edu/ids/deliveryService?id=NMAH-AHB2013q043625","NMAH-AHB2013q043625")</f>
        <v>NMAH-AHB2013q043625</v>
      </c>
      <c r="B614" s="3" t="s">
        <v>1781</v>
      </c>
      <c r="C614" s="3">
        <v>1437176</v>
      </c>
      <c r="D614" s="3" t="s">
        <v>1716</v>
      </c>
      <c r="E614" s="4" t="s">
        <v>1727</v>
      </c>
      <c r="F614" t="s">
        <v>1757</v>
      </c>
      <c r="G614">
        <v>0.92922145128250122</v>
      </c>
      <c r="H614" t="s">
        <v>49</v>
      </c>
      <c r="I614">
        <v>0.85017174482345581</v>
      </c>
      <c r="J614" t="s">
        <v>1758</v>
      </c>
      <c r="K614" s="4">
        <v>0.79895699024200439</v>
      </c>
      <c r="L614" t="s">
        <v>336</v>
      </c>
      <c r="M614">
        <v>0.95901424000000002</v>
      </c>
      <c r="N614" t="s">
        <v>149</v>
      </c>
      <c r="O614">
        <v>2.6621835E-2</v>
      </c>
      <c r="P614" t="s">
        <v>312</v>
      </c>
      <c r="Q614" s="4">
        <v>6.4651216000000001E-3</v>
      </c>
      <c r="R614" t="s">
        <v>336</v>
      </c>
      <c r="S614">
        <v>0.81845754000000004</v>
      </c>
      <c r="T614" t="s">
        <v>149</v>
      </c>
      <c r="U614">
        <v>2.3208245999999998E-2</v>
      </c>
      <c r="V614" t="s">
        <v>312</v>
      </c>
      <c r="W614">
        <v>2.093126E-2</v>
      </c>
    </row>
    <row r="615" spans="1:23" x14ac:dyDescent="0.25">
      <c r="A615" s="3" t="str">
        <f>HYPERLINK("http://ids.si.edu/ids/deliveryService?id=NMAH-AHB2013q043763","NMAH-AHB2013q043763")</f>
        <v>NMAH-AHB2013q043763</v>
      </c>
      <c r="B615" s="3" t="s">
        <v>1782</v>
      </c>
      <c r="C615" s="3">
        <v>1437229</v>
      </c>
      <c r="D615" s="3" t="s">
        <v>1716</v>
      </c>
      <c r="E615" s="4" t="s">
        <v>336</v>
      </c>
      <c r="F615" t="s">
        <v>196</v>
      </c>
      <c r="G615">
        <v>0.87078309059143066</v>
      </c>
      <c r="H615" t="s">
        <v>49</v>
      </c>
      <c r="I615">
        <v>0.83692640066146851</v>
      </c>
      <c r="J615" t="s">
        <v>112</v>
      </c>
      <c r="K615" s="4">
        <v>0.83145445585250854</v>
      </c>
      <c r="L615" t="s">
        <v>336</v>
      </c>
      <c r="M615">
        <v>0.15404603</v>
      </c>
      <c r="N615" t="s">
        <v>87</v>
      </c>
      <c r="O615">
        <v>6.9159924999999997E-2</v>
      </c>
      <c r="P615" t="s">
        <v>1728</v>
      </c>
      <c r="Q615" s="4">
        <v>6.59E-2</v>
      </c>
      <c r="R615" t="s">
        <v>336</v>
      </c>
      <c r="S615">
        <v>0.36470562000000001</v>
      </c>
      <c r="T615" t="s">
        <v>159</v>
      </c>
      <c r="U615">
        <v>5.8290962000000002E-2</v>
      </c>
      <c r="V615" t="s">
        <v>175</v>
      </c>
      <c r="W615">
        <v>5.3341359999999997E-2</v>
      </c>
    </row>
    <row r="616" spans="1:23" x14ac:dyDescent="0.25">
      <c r="A616" s="3" t="str">
        <f>HYPERLINK("http://ids.si.edu/ids/deliveryService?id=NMAH-AHB2013q044049","NMAH-AHB2013q044049")</f>
        <v>NMAH-AHB2013q044049</v>
      </c>
      <c r="B616" s="3" t="s">
        <v>1783</v>
      </c>
      <c r="C616" s="3">
        <v>1437511</v>
      </c>
      <c r="D616" s="3" t="s">
        <v>1716</v>
      </c>
      <c r="E616" s="4" t="s">
        <v>1763</v>
      </c>
      <c r="F616" t="s">
        <v>196</v>
      </c>
      <c r="G616">
        <v>0.91519927978515625</v>
      </c>
      <c r="H616" t="s">
        <v>112</v>
      </c>
      <c r="I616">
        <v>0.85578519105911255</v>
      </c>
      <c r="J616" t="s">
        <v>1784</v>
      </c>
      <c r="K616" s="4">
        <v>0.70065897703170776</v>
      </c>
      <c r="L616" t="s">
        <v>336</v>
      </c>
      <c r="M616">
        <v>0.53942453999999995</v>
      </c>
      <c r="N616" t="s">
        <v>273</v>
      </c>
      <c r="O616">
        <v>0.14117108</v>
      </c>
      <c r="P616" t="s">
        <v>390</v>
      </c>
      <c r="Q616" s="4">
        <v>0.14097385000000001</v>
      </c>
      <c r="R616" t="s">
        <v>175</v>
      </c>
      <c r="S616">
        <v>0.15205075000000001</v>
      </c>
      <c r="T616" t="s">
        <v>71</v>
      </c>
      <c r="U616">
        <v>5.4524034000000013E-2</v>
      </c>
      <c r="V616" t="s">
        <v>544</v>
      </c>
      <c r="W616">
        <v>3.1224729999999999E-2</v>
      </c>
    </row>
    <row r="617" spans="1:23" x14ac:dyDescent="0.25">
      <c r="A617" s="3" t="str">
        <f>HYPERLINK("http://ids.si.edu/ids/deliveryService?id=NMAH-AHB2013q043897","NMAH-AHB2013q043897")</f>
        <v>NMAH-AHB2013q043897</v>
      </c>
      <c r="B617" s="3" t="s">
        <v>1785</v>
      </c>
      <c r="C617" s="3">
        <v>1437294</v>
      </c>
      <c r="D617" s="3" t="s">
        <v>1716</v>
      </c>
      <c r="E617" s="4" t="s">
        <v>1727</v>
      </c>
      <c r="F617" t="s">
        <v>301</v>
      </c>
      <c r="G617">
        <v>0.75482624769210815</v>
      </c>
      <c r="H617" t="s">
        <v>49</v>
      </c>
      <c r="I617">
        <v>0.7500341534614563</v>
      </c>
      <c r="J617" t="s">
        <v>196</v>
      </c>
      <c r="K617" s="4">
        <v>0.68880158662796021</v>
      </c>
      <c r="L617" t="s">
        <v>336</v>
      </c>
      <c r="M617">
        <v>0.22293286000000001</v>
      </c>
      <c r="N617" t="s">
        <v>1099</v>
      </c>
      <c r="O617">
        <v>0.14520346000000001</v>
      </c>
      <c r="P617" t="s">
        <v>239</v>
      </c>
      <c r="Q617" s="4">
        <v>0.104415305</v>
      </c>
      <c r="R617" t="s">
        <v>175</v>
      </c>
      <c r="S617">
        <v>0.126114</v>
      </c>
      <c r="T617" t="s">
        <v>71</v>
      </c>
      <c r="U617">
        <v>6.6547245000000005E-2</v>
      </c>
      <c r="V617" t="s">
        <v>706</v>
      </c>
      <c r="W617">
        <v>3.3667237000000003E-2</v>
      </c>
    </row>
    <row r="618" spans="1:23" x14ac:dyDescent="0.25">
      <c r="A618" s="3" t="str">
        <f>HYPERLINK("http://ids.si.edu/ids/deliveryService?id=NMAH-NMAH2002-11168","NMAH-NMAH2002-11168")</f>
        <v>NMAH-NMAH2002-11168</v>
      </c>
      <c r="B618" s="3" t="s">
        <v>1786</v>
      </c>
      <c r="C618" s="3">
        <v>706356</v>
      </c>
      <c r="D618" s="3" t="s">
        <v>1716</v>
      </c>
      <c r="E618" s="4" t="s">
        <v>1787</v>
      </c>
      <c r="F618" t="s">
        <v>178</v>
      </c>
      <c r="G618">
        <v>0.86787182092666626</v>
      </c>
      <c r="H618" t="s">
        <v>256</v>
      </c>
      <c r="I618">
        <v>0.84155488014221191</v>
      </c>
      <c r="J618" t="s">
        <v>179</v>
      </c>
      <c r="K618" s="4">
        <v>0.82280468940734863</v>
      </c>
      <c r="L618" t="s">
        <v>313</v>
      </c>
      <c r="M618">
        <v>0.56854075000000004</v>
      </c>
      <c r="N618" t="s">
        <v>668</v>
      </c>
      <c r="O618">
        <v>0.23365175999999999</v>
      </c>
      <c r="P618" t="s">
        <v>411</v>
      </c>
      <c r="Q618" s="4">
        <v>3.4798093000000002E-2</v>
      </c>
      <c r="R618" t="s">
        <v>313</v>
      </c>
      <c r="S618">
        <v>0.50390153999999998</v>
      </c>
      <c r="T618" t="s">
        <v>390</v>
      </c>
      <c r="U618">
        <v>0.14322347999999999</v>
      </c>
      <c r="V618" t="s">
        <v>673</v>
      </c>
      <c r="W618">
        <v>4.5669620000000001E-2</v>
      </c>
    </row>
    <row r="619" spans="1:23" x14ac:dyDescent="0.25">
      <c r="A619" s="3" t="str">
        <f>HYPERLINK("http://ids.si.edu/ids/deliveryService?id=NMAH-AHB2013q043607","NMAH-AHB2013q043607")</f>
        <v>NMAH-AHB2013q043607</v>
      </c>
      <c r="B619" s="3" t="s">
        <v>1788</v>
      </c>
      <c r="C619" s="3">
        <v>1437161</v>
      </c>
      <c r="D619" s="3" t="s">
        <v>1716</v>
      </c>
      <c r="E619" s="4" t="s">
        <v>1727</v>
      </c>
      <c r="F619" t="s">
        <v>50</v>
      </c>
      <c r="G619">
        <v>0.7381446361541748</v>
      </c>
      <c r="H619" t="s">
        <v>49</v>
      </c>
      <c r="I619">
        <v>0.64354312419891357</v>
      </c>
      <c r="L619" t="s">
        <v>336</v>
      </c>
      <c r="M619">
        <v>0.38578721999999999</v>
      </c>
      <c r="N619" t="s">
        <v>273</v>
      </c>
      <c r="O619">
        <v>0.16720246</v>
      </c>
      <c r="P619" t="s">
        <v>239</v>
      </c>
      <c r="Q619" s="4">
        <v>7.6601730000000007E-2</v>
      </c>
      <c r="R619" t="s">
        <v>336</v>
      </c>
      <c r="S619">
        <v>9.0215119999999996E-2</v>
      </c>
      <c r="T619" t="s">
        <v>175</v>
      </c>
      <c r="U619">
        <v>8.9194015000000001E-2</v>
      </c>
      <c r="V619" t="s">
        <v>706</v>
      </c>
      <c r="W619">
        <v>8.3345755999999993E-2</v>
      </c>
    </row>
    <row r="620" spans="1:23" x14ac:dyDescent="0.25">
      <c r="A620" s="3" t="str">
        <f>HYPERLINK("http://ids.si.edu/ids/deliveryService?id=NMAH-JN2014-3948","NMAH-JN2014-3948")</f>
        <v>NMAH-JN2014-3948</v>
      </c>
      <c r="B620" s="3" t="s">
        <v>1789</v>
      </c>
      <c r="C620" s="3">
        <v>1695304</v>
      </c>
      <c r="D620" s="3" t="s">
        <v>1716</v>
      </c>
      <c r="E620" s="4" t="s">
        <v>1543</v>
      </c>
      <c r="F620" t="s">
        <v>61</v>
      </c>
      <c r="G620">
        <v>0.95236456394195557</v>
      </c>
      <c r="H620" t="s">
        <v>112</v>
      </c>
      <c r="I620">
        <v>0.93102520704269409</v>
      </c>
      <c r="J620" t="s">
        <v>91</v>
      </c>
      <c r="K620" s="4">
        <v>0.91031128168106079</v>
      </c>
      <c r="L620" t="s">
        <v>29</v>
      </c>
      <c r="M620">
        <v>0.73641259999999997</v>
      </c>
      <c r="N620" t="s">
        <v>209</v>
      </c>
      <c r="O620">
        <v>1.3757544999999999E-2</v>
      </c>
      <c r="P620" t="s">
        <v>66</v>
      </c>
      <c r="Q620" s="4">
        <v>1.0695791E-2</v>
      </c>
      <c r="R620" t="s">
        <v>29</v>
      </c>
      <c r="S620">
        <v>0.35027914999999998</v>
      </c>
      <c r="T620" t="s">
        <v>610</v>
      </c>
      <c r="U620">
        <v>3.5377949999999998E-2</v>
      </c>
      <c r="V620" t="s">
        <v>71</v>
      </c>
      <c r="W620">
        <v>2.5891886999999999E-2</v>
      </c>
    </row>
    <row r="621" spans="1:23" x14ac:dyDescent="0.25">
      <c r="A621" s="3" t="str">
        <f>HYPERLINK("http://ids.si.edu/ids/deliveryService?id=NMAH-AHB2013q043429","NMAH-AHB2013q043429")</f>
        <v>NMAH-AHB2013q043429</v>
      </c>
      <c r="B621" s="3" t="s">
        <v>1790</v>
      </c>
      <c r="C621" s="3">
        <v>1437416</v>
      </c>
      <c r="D621" s="3" t="s">
        <v>1716</v>
      </c>
      <c r="E621" s="4" t="s">
        <v>1727</v>
      </c>
      <c r="F621" t="s">
        <v>49</v>
      </c>
      <c r="G621">
        <v>0.60288959741592407</v>
      </c>
      <c r="H621" t="s">
        <v>50</v>
      </c>
      <c r="I621">
        <v>0.5114516019821167</v>
      </c>
      <c r="L621" t="s">
        <v>336</v>
      </c>
      <c r="M621">
        <v>0.94969194999999995</v>
      </c>
      <c r="N621" t="s">
        <v>149</v>
      </c>
      <c r="O621">
        <v>1.4475052E-2</v>
      </c>
      <c r="P621" t="s">
        <v>1791</v>
      </c>
      <c r="Q621" s="4">
        <v>3.9809694999999997E-3</v>
      </c>
      <c r="R621" t="s">
        <v>365</v>
      </c>
      <c r="S621">
        <v>0.33860284000000002</v>
      </c>
      <c r="T621" t="s">
        <v>31</v>
      </c>
      <c r="U621">
        <v>0.11269353</v>
      </c>
      <c r="V621" t="s">
        <v>443</v>
      </c>
      <c r="W621">
        <v>8.0556870000000003E-2</v>
      </c>
    </row>
    <row r="622" spans="1:23" x14ac:dyDescent="0.25">
      <c r="A622" s="3" t="str">
        <f>HYPERLINK("http://ids.si.edu/ids/deliveryService?id=NMAH-AHB2013q040021","NMAH-AHB2013q040021")</f>
        <v>NMAH-AHB2013q040021</v>
      </c>
      <c r="B622" s="3" t="s">
        <v>1792</v>
      </c>
      <c r="C622" s="3">
        <v>1426723</v>
      </c>
      <c r="D622" s="3" t="s">
        <v>1716</v>
      </c>
      <c r="E622" s="4" t="s">
        <v>1793</v>
      </c>
      <c r="F622" t="s">
        <v>1613</v>
      </c>
      <c r="G622">
        <v>0.98476934432983398</v>
      </c>
      <c r="H622" t="s">
        <v>188</v>
      </c>
      <c r="I622">
        <v>0.80183678865432739</v>
      </c>
      <c r="J622" t="s">
        <v>112</v>
      </c>
      <c r="K622" s="4">
        <v>0.68572378158569336</v>
      </c>
      <c r="L622" t="s">
        <v>571</v>
      </c>
      <c r="M622">
        <v>0.16792773999999999</v>
      </c>
      <c r="N622" t="s">
        <v>338</v>
      </c>
      <c r="O622">
        <v>0.15870765000000001</v>
      </c>
      <c r="P622" t="s">
        <v>601</v>
      </c>
      <c r="Q622" s="4">
        <v>7.9719774000000007E-2</v>
      </c>
      <c r="R622" t="s">
        <v>31</v>
      </c>
      <c r="S622">
        <v>0.18248494000000001</v>
      </c>
      <c r="T622" t="s">
        <v>813</v>
      </c>
      <c r="U622">
        <v>9.6846199999999993E-2</v>
      </c>
      <c r="V622" t="s">
        <v>765</v>
      </c>
      <c r="W622">
        <v>7.5220899999999993E-2</v>
      </c>
    </row>
    <row r="623" spans="1:23" x14ac:dyDescent="0.25">
      <c r="A623" s="3" t="str">
        <f>HYPERLINK("http://ids.si.edu/ids/deliveryService?id=NMAH-AHB2013q043377","NMAH-AHB2013q043377")</f>
        <v>NMAH-AHB2013q043377</v>
      </c>
      <c r="B623" s="3" t="s">
        <v>1794</v>
      </c>
      <c r="C623" s="3">
        <v>1437745</v>
      </c>
      <c r="D623" s="3" t="s">
        <v>1716</v>
      </c>
      <c r="E623" s="4" t="s">
        <v>1727</v>
      </c>
      <c r="F623" t="s">
        <v>615</v>
      </c>
      <c r="G623">
        <v>0.60989159345626831</v>
      </c>
      <c r="L623" t="s">
        <v>149</v>
      </c>
      <c r="M623">
        <v>0.89395833000000002</v>
      </c>
      <c r="N623" t="s">
        <v>336</v>
      </c>
      <c r="O623">
        <v>2.8317289999999998E-2</v>
      </c>
      <c r="P623" t="s">
        <v>93</v>
      </c>
      <c r="Q623" s="4">
        <v>2.8045443999999999E-2</v>
      </c>
      <c r="R623" t="s">
        <v>149</v>
      </c>
      <c r="S623">
        <v>0.43349855999999998</v>
      </c>
      <c r="T623" t="s">
        <v>93</v>
      </c>
      <c r="U623">
        <v>0.42931077000000001</v>
      </c>
      <c r="V623" t="s">
        <v>336</v>
      </c>
      <c r="W623">
        <v>2.3365774999999998E-2</v>
      </c>
    </row>
    <row r="624" spans="1:23" x14ac:dyDescent="0.25">
      <c r="A624" s="3" t="str">
        <f>HYPERLINK("http://ids.si.edu/ids/deliveryService?id=NMAH-NMAH2004-05943","NMAH-NMAH2004-05943")</f>
        <v>NMAH-NMAH2004-05943</v>
      </c>
      <c r="B624" s="3" t="s">
        <v>1795</v>
      </c>
      <c r="C624" s="3">
        <v>994989</v>
      </c>
      <c r="D624" s="3" t="s">
        <v>1716</v>
      </c>
      <c r="E624" s="4" t="s">
        <v>1717</v>
      </c>
      <c r="F624" t="s">
        <v>281</v>
      </c>
      <c r="G624">
        <v>0.51874005794525146</v>
      </c>
      <c r="L624" t="s">
        <v>685</v>
      </c>
      <c r="M624">
        <v>0.8303412</v>
      </c>
      <c r="N624" t="s">
        <v>95</v>
      </c>
      <c r="O624">
        <v>4.4982954999999998E-2</v>
      </c>
      <c r="P624" t="s">
        <v>83</v>
      </c>
      <c r="Q624" s="4">
        <v>2.8930444E-2</v>
      </c>
      <c r="R624" t="s">
        <v>79</v>
      </c>
      <c r="S624">
        <v>0.11760349</v>
      </c>
      <c r="T624" t="s">
        <v>95</v>
      </c>
      <c r="U624">
        <v>0.105259456</v>
      </c>
      <c r="V624" t="s">
        <v>685</v>
      </c>
      <c r="W624">
        <v>9.7171270000000004E-2</v>
      </c>
    </row>
    <row r="625" spans="1:23" x14ac:dyDescent="0.25">
      <c r="A625" s="3" t="str">
        <f>HYPERLINK("http://ids.si.edu/ids/deliveryService?id=NMAH-AHB2013q044911","NMAH-AHB2013q044911")</f>
        <v>NMAH-AHB2013q044911</v>
      </c>
      <c r="B625" s="3" t="s">
        <v>1796</v>
      </c>
      <c r="C625" s="3">
        <v>1438289</v>
      </c>
      <c r="D625" s="3" t="s">
        <v>1716</v>
      </c>
      <c r="E625" s="4" t="s">
        <v>1761</v>
      </c>
      <c r="F625" t="s">
        <v>91</v>
      </c>
      <c r="G625">
        <v>0.91031128168106079</v>
      </c>
      <c r="H625" t="s">
        <v>112</v>
      </c>
      <c r="I625">
        <v>0.74956268072128296</v>
      </c>
      <c r="J625" t="s">
        <v>1757</v>
      </c>
      <c r="K625" s="4">
        <v>0.63332968950271606</v>
      </c>
      <c r="L625" t="s">
        <v>149</v>
      </c>
      <c r="M625">
        <v>0.73714995000000005</v>
      </c>
      <c r="N625" t="s">
        <v>1099</v>
      </c>
      <c r="O625">
        <v>9.7281660000000006E-2</v>
      </c>
      <c r="P625" t="s">
        <v>336</v>
      </c>
      <c r="Q625" s="4">
        <v>4.0725419999999998E-2</v>
      </c>
      <c r="R625" t="s">
        <v>336</v>
      </c>
      <c r="S625">
        <v>0.51472609999999996</v>
      </c>
      <c r="T625" t="s">
        <v>149</v>
      </c>
      <c r="U625">
        <v>0.11006289</v>
      </c>
      <c r="V625" t="s">
        <v>444</v>
      </c>
      <c r="W625">
        <v>3.5645990000000002E-2</v>
      </c>
    </row>
    <row r="626" spans="1:23" x14ac:dyDescent="0.25">
      <c r="A626" s="3" t="str">
        <f>HYPERLINK("http://ids.si.edu/ids/deliveryService?id=NMAH-AHB2013q044266","NMAH-AHB2013q044266")</f>
        <v>NMAH-AHB2013q044266</v>
      </c>
      <c r="B626" s="3" t="s">
        <v>1797</v>
      </c>
      <c r="C626" s="3">
        <v>1437251</v>
      </c>
      <c r="D626" s="3" t="s">
        <v>1716</v>
      </c>
      <c r="E626" s="4" t="s">
        <v>1798</v>
      </c>
      <c r="F626" t="s">
        <v>49</v>
      </c>
      <c r="G626">
        <v>0.87236225605010986</v>
      </c>
      <c r="H626" t="s">
        <v>50</v>
      </c>
      <c r="I626">
        <v>0.80917561054229736</v>
      </c>
      <c r="J626" t="s">
        <v>112</v>
      </c>
      <c r="K626" s="4">
        <v>0.74956268072128296</v>
      </c>
      <c r="L626" t="s">
        <v>87</v>
      </c>
      <c r="M626">
        <v>0.33518606000000001</v>
      </c>
      <c r="N626" t="s">
        <v>336</v>
      </c>
      <c r="O626">
        <v>0.22412003999999999</v>
      </c>
      <c r="P626" t="s">
        <v>259</v>
      </c>
      <c r="Q626" s="4">
        <v>8.6751030000000007E-2</v>
      </c>
      <c r="R626" t="s">
        <v>336</v>
      </c>
      <c r="S626">
        <v>0.11156246</v>
      </c>
      <c r="T626" t="s">
        <v>369</v>
      </c>
      <c r="U626">
        <v>9.9955365000000004E-2</v>
      </c>
      <c r="V626" t="s">
        <v>175</v>
      </c>
      <c r="W626">
        <v>8.0527879999999996E-2</v>
      </c>
    </row>
    <row r="627" spans="1:23" x14ac:dyDescent="0.25">
      <c r="A627" s="3" t="str">
        <f>HYPERLINK("http://ids.si.edu/ids/deliveryService?id=NMAH-AHB2013q044835","NMAH-AHB2013q044835")</f>
        <v>NMAH-AHB2013q044835</v>
      </c>
      <c r="B627" s="3" t="s">
        <v>1799</v>
      </c>
      <c r="C627" s="3">
        <v>1438187</v>
      </c>
      <c r="D627" s="3" t="s">
        <v>1716</v>
      </c>
      <c r="E627" s="4" t="s">
        <v>1763</v>
      </c>
      <c r="F627" t="s">
        <v>91</v>
      </c>
      <c r="G627">
        <v>0.88283330202102661</v>
      </c>
      <c r="H627" t="s">
        <v>196</v>
      </c>
      <c r="I627">
        <v>0.80717724561691284</v>
      </c>
      <c r="J627" t="s">
        <v>112</v>
      </c>
      <c r="K627" s="4">
        <v>0.80401664972305298</v>
      </c>
      <c r="L627" t="s">
        <v>336</v>
      </c>
      <c r="M627">
        <v>0.91924430000000013</v>
      </c>
      <c r="N627" t="s">
        <v>149</v>
      </c>
      <c r="O627">
        <v>2.2024851000000002E-2</v>
      </c>
      <c r="P627" t="s">
        <v>239</v>
      </c>
      <c r="Q627" s="4">
        <v>1.9270215E-2</v>
      </c>
      <c r="R627" t="s">
        <v>336</v>
      </c>
      <c r="S627">
        <v>0.29289228</v>
      </c>
      <c r="T627" t="s">
        <v>149</v>
      </c>
      <c r="U627">
        <v>0.20676464999999999</v>
      </c>
      <c r="V627" t="s">
        <v>93</v>
      </c>
      <c r="W627">
        <v>7.7206289999999997E-2</v>
      </c>
    </row>
    <row r="628" spans="1:23" x14ac:dyDescent="0.25">
      <c r="A628" s="3" t="str">
        <f>HYPERLINK("http://ids.si.edu/ids/deliveryService?id=NMAH-NMAH2002-25226","NMAH-NMAH2002-25226")</f>
        <v>NMAH-NMAH2002-25226</v>
      </c>
      <c r="B628" s="3" t="s">
        <v>1800</v>
      </c>
      <c r="C628" s="3">
        <v>1273642</v>
      </c>
      <c r="D628" s="3" t="s">
        <v>1716</v>
      </c>
      <c r="E628" s="4" t="s">
        <v>1801</v>
      </c>
      <c r="F628" t="s">
        <v>178</v>
      </c>
      <c r="G628">
        <v>0.84875649213790894</v>
      </c>
      <c r="H628" t="s">
        <v>179</v>
      </c>
      <c r="I628">
        <v>0.78293013572692871</v>
      </c>
      <c r="J628" t="s">
        <v>1802</v>
      </c>
      <c r="K628" s="4">
        <v>0.50061666965484619</v>
      </c>
      <c r="L628" t="s">
        <v>804</v>
      </c>
      <c r="M628">
        <v>0.35993415000000001</v>
      </c>
      <c r="N628" t="s">
        <v>1803</v>
      </c>
      <c r="O628">
        <v>0.273449</v>
      </c>
      <c r="P628" t="s">
        <v>313</v>
      </c>
      <c r="Q628" s="4">
        <v>5.5652845999999999E-2</v>
      </c>
      <c r="R628" t="s">
        <v>1803</v>
      </c>
      <c r="S628">
        <v>0.53527139999999995</v>
      </c>
      <c r="T628" t="s">
        <v>313</v>
      </c>
      <c r="U628">
        <v>0.17676578000000001</v>
      </c>
      <c r="V628" t="s">
        <v>804</v>
      </c>
      <c r="W628">
        <v>0.13870827999999999</v>
      </c>
    </row>
    <row r="629" spans="1:23" x14ac:dyDescent="0.25">
      <c r="A629" s="3" t="str">
        <f>HYPERLINK("http://ids.si.edu/ids/deliveryService?id=NMAH-NMAH2002-27519","NMAH-NMAH2002-27519")</f>
        <v>NMAH-NMAH2002-27519</v>
      </c>
      <c r="B629" s="3" t="s">
        <v>1804</v>
      </c>
      <c r="C629" s="3">
        <v>706650</v>
      </c>
      <c r="D629" s="3" t="s">
        <v>1716</v>
      </c>
      <c r="E629" s="4" t="s">
        <v>1801</v>
      </c>
      <c r="F629" t="s">
        <v>50</v>
      </c>
      <c r="G629">
        <v>0.60706108808517456</v>
      </c>
      <c r="H629" t="s">
        <v>256</v>
      </c>
      <c r="I629">
        <v>0.59585320949554443</v>
      </c>
      <c r="J629" t="s">
        <v>49</v>
      </c>
      <c r="K629" s="4">
        <v>0.50444436073303223</v>
      </c>
      <c r="L629" t="s">
        <v>175</v>
      </c>
      <c r="M629">
        <v>0.13398383999999999</v>
      </c>
      <c r="N629" t="s">
        <v>369</v>
      </c>
      <c r="O629">
        <v>8.5401169999999998E-2</v>
      </c>
      <c r="P629" t="s">
        <v>1184</v>
      </c>
      <c r="Q629" s="4">
        <v>5.825615E-2</v>
      </c>
      <c r="R629" t="s">
        <v>175</v>
      </c>
      <c r="S629">
        <v>0.30574154999999997</v>
      </c>
      <c r="T629" t="s">
        <v>72</v>
      </c>
      <c r="U629">
        <v>0.10768042</v>
      </c>
      <c r="V629" t="s">
        <v>492</v>
      </c>
      <c r="W629">
        <v>4.0701016999999999E-2</v>
      </c>
    </row>
    <row r="630" spans="1:23" x14ac:dyDescent="0.25">
      <c r="A630" s="3" t="str">
        <f>HYPERLINK("http://ids.si.edu/ids/deliveryService?id=NMAH-AHB2013q018029","NMAH-AHB2013q018029")</f>
        <v>NMAH-AHB2013q018029</v>
      </c>
      <c r="B630" s="3" t="s">
        <v>1805</v>
      </c>
      <c r="C630" s="3">
        <v>1449987</v>
      </c>
      <c r="D630" s="3" t="s">
        <v>1716</v>
      </c>
      <c r="E630" s="4" t="s">
        <v>1806</v>
      </c>
      <c r="F630" t="s">
        <v>1807</v>
      </c>
      <c r="G630">
        <v>0.98820585012435913</v>
      </c>
      <c r="H630" t="s">
        <v>1808</v>
      </c>
      <c r="I630">
        <v>0.98118716478347778</v>
      </c>
      <c r="J630" t="s">
        <v>1583</v>
      </c>
      <c r="K630" s="4">
        <v>0.90259182453155518</v>
      </c>
      <c r="L630" t="s">
        <v>149</v>
      </c>
      <c r="M630">
        <v>0.41819980000000001</v>
      </c>
      <c r="N630" t="s">
        <v>673</v>
      </c>
      <c r="O630">
        <v>0.118805066</v>
      </c>
      <c r="P630" t="s">
        <v>63</v>
      </c>
      <c r="Q630" s="4">
        <v>4.4024582999999999E-2</v>
      </c>
      <c r="R630" t="s">
        <v>259</v>
      </c>
      <c r="S630">
        <v>0.115338765</v>
      </c>
      <c r="T630" t="s">
        <v>313</v>
      </c>
      <c r="U630">
        <v>8.3969379999999996E-2</v>
      </c>
      <c r="V630" t="s">
        <v>426</v>
      </c>
      <c r="W630">
        <v>6.8560085999999992E-2</v>
      </c>
    </row>
    <row r="631" spans="1:23" x14ac:dyDescent="0.25">
      <c r="A631" s="3" t="str">
        <f>HYPERLINK("http://ids.si.edu/ids/deliveryService?id=NMAH-JN2014-4086","NMAH-JN2014-4086")</f>
        <v>NMAH-JN2014-4086</v>
      </c>
      <c r="B631" s="3" t="s">
        <v>1809</v>
      </c>
      <c r="C631" s="3">
        <v>1153317</v>
      </c>
      <c r="D631" s="3" t="s">
        <v>1716</v>
      </c>
      <c r="E631" s="4" t="s">
        <v>1810</v>
      </c>
      <c r="F631" t="s">
        <v>132</v>
      </c>
      <c r="G631">
        <v>0.88201820850372314</v>
      </c>
      <c r="H631" t="s">
        <v>441</v>
      </c>
      <c r="I631">
        <v>0.71206289529800415</v>
      </c>
      <c r="J631" t="s">
        <v>615</v>
      </c>
      <c r="K631" s="4">
        <v>0.60989159345626831</v>
      </c>
      <c r="L631" t="s">
        <v>260</v>
      </c>
      <c r="M631">
        <v>0.56338880000000013</v>
      </c>
      <c r="N631" t="s">
        <v>150</v>
      </c>
      <c r="O631">
        <v>0.14374918</v>
      </c>
      <c r="P631" t="s">
        <v>398</v>
      </c>
      <c r="Q631" s="4">
        <v>6.3087980000000002E-2</v>
      </c>
      <c r="R631" t="s">
        <v>260</v>
      </c>
      <c r="S631">
        <v>0.54274090000000008</v>
      </c>
      <c r="T631" t="s">
        <v>460</v>
      </c>
      <c r="U631">
        <v>6.7219169999999995E-2</v>
      </c>
      <c r="V631" t="s">
        <v>599</v>
      </c>
      <c r="W631">
        <v>5.4048291999999998E-2</v>
      </c>
    </row>
    <row r="632" spans="1:23" x14ac:dyDescent="0.25">
      <c r="A632" s="3" t="str">
        <f>HYPERLINK("http://ids.si.edu/ids/deliveryService?id=NMAH-AHB2013q043959","NMAH-AHB2013q043959")</f>
        <v>NMAH-AHB2013q043959</v>
      </c>
      <c r="B632" s="3" t="s">
        <v>1811</v>
      </c>
      <c r="C632" s="3">
        <v>1437340</v>
      </c>
      <c r="D632" s="3" t="s">
        <v>1716</v>
      </c>
      <c r="E632" s="4" t="s">
        <v>1727</v>
      </c>
      <c r="F632" t="s">
        <v>61</v>
      </c>
      <c r="G632">
        <v>0.85248786211013794</v>
      </c>
      <c r="H632" t="s">
        <v>1774</v>
      </c>
      <c r="I632">
        <v>0.84660881757736206</v>
      </c>
      <c r="J632" t="s">
        <v>112</v>
      </c>
      <c r="K632" s="4">
        <v>0.68572378158569336</v>
      </c>
      <c r="L632" t="s">
        <v>1099</v>
      </c>
      <c r="M632">
        <v>0.36177935999999999</v>
      </c>
      <c r="N632" t="s">
        <v>149</v>
      </c>
      <c r="O632">
        <v>0.28032255</v>
      </c>
      <c r="P632" t="s">
        <v>1812</v>
      </c>
      <c r="Q632" s="4">
        <v>0.12143241</v>
      </c>
      <c r="R632" t="s">
        <v>149</v>
      </c>
      <c r="S632">
        <v>0.29731542</v>
      </c>
      <c r="T632" t="s">
        <v>151</v>
      </c>
      <c r="U632">
        <v>9.8095009999999996E-2</v>
      </c>
      <c r="V632" t="s">
        <v>765</v>
      </c>
      <c r="W632">
        <v>9.0786919999999993E-2</v>
      </c>
    </row>
    <row r="633" spans="1:23" x14ac:dyDescent="0.25">
      <c r="A633" s="3" t="str">
        <f>HYPERLINK("http://ids.si.edu/ids/deliveryService?id=NMAH-MAH-59405A","NMAH-MAH-59405A")</f>
        <v>NMAH-MAH-59405A</v>
      </c>
      <c r="B633" s="3" t="s">
        <v>1813</v>
      </c>
      <c r="C633" s="3">
        <v>1269676</v>
      </c>
      <c r="D633" s="3" t="s">
        <v>1716</v>
      </c>
      <c r="E633" s="4" t="s">
        <v>1814</v>
      </c>
      <c r="F633" t="s">
        <v>280</v>
      </c>
      <c r="G633">
        <v>0.66524064540863037</v>
      </c>
      <c r="L633" t="s">
        <v>93</v>
      </c>
      <c r="M633">
        <v>0.78110010000000007</v>
      </c>
      <c r="N633" t="s">
        <v>442</v>
      </c>
      <c r="O633">
        <v>3.2592863E-2</v>
      </c>
      <c r="P633" t="s">
        <v>258</v>
      </c>
      <c r="Q633" s="4">
        <v>2.8576082999999999E-2</v>
      </c>
      <c r="R633" t="s">
        <v>233</v>
      </c>
      <c r="S633">
        <v>0.28244092999999998</v>
      </c>
      <c r="T633" t="s">
        <v>502</v>
      </c>
      <c r="U633">
        <v>0.21703607999999999</v>
      </c>
      <c r="V633" t="s">
        <v>93</v>
      </c>
      <c r="W633">
        <v>0.17279169999999999</v>
      </c>
    </row>
    <row r="634" spans="1:23" x14ac:dyDescent="0.25">
      <c r="A634" s="3" t="str">
        <f>HYPERLINK("http://ids.si.edu/ids/deliveryService?id=NMAH-NMAH2002-31143","NMAH-NMAH2002-31143")</f>
        <v>NMAH-NMAH2002-31143</v>
      </c>
      <c r="B634" s="3" t="s">
        <v>1815</v>
      </c>
      <c r="C634" s="3">
        <v>700678</v>
      </c>
      <c r="D634" s="3" t="s">
        <v>1716</v>
      </c>
      <c r="E634" s="4" t="s">
        <v>1816</v>
      </c>
      <c r="F634" t="s">
        <v>179</v>
      </c>
      <c r="G634">
        <v>0.71705842018127441</v>
      </c>
      <c r="H634" t="s">
        <v>178</v>
      </c>
      <c r="I634">
        <v>0.68205040693283081</v>
      </c>
      <c r="J634" t="s">
        <v>541</v>
      </c>
      <c r="K634" s="4">
        <v>0.52115780115127563</v>
      </c>
      <c r="L634" t="s">
        <v>804</v>
      </c>
      <c r="M634">
        <v>0.70505580000000012</v>
      </c>
      <c r="N634" t="s">
        <v>411</v>
      </c>
      <c r="O634">
        <v>7.0020139999999995E-2</v>
      </c>
      <c r="P634" t="s">
        <v>668</v>
      </c>
      <c r="Q634" s="4">
        <v>4.4823824999999998E-2</v>
      </c>
      <c r="R634" t="s">
        <v>804</v>
      </c>
      <c r="S634">
        <v>0.45266383999999998</v>
      </c>
      <c r="T634" t="s">
        <v>549</v>
      </c>
      <c r="U634">
        <v>0.24971378</v>
      </c>
      <c r="V634" t="s">
        <v>784</v>
      </c>
      <c r="W634">
        <v>9.0766355000000007E-2</v>
      </c>
    </row>
    <row r="635" spans="1:23" x14ac:dyDescent="0.25">
      <c r="A635" s="3" t="str">
        <f>HYPERLINK("http://ids.si.edu/ids/deliveryService?id=NMAH-NMAH2002-30161","NMAH-NMAH2002-30161")</f>
        <v>NMAH-NMAH2002-30161</v>
      </c>
      <c r="B635" s="3" t="s">
        <v>1817</v>
      </c>
      <c r="C635" s="3">
        <v>706852</v>
      </c>
      <c r="D635" s="3" t="s">
        <v>1716</v>
      </c>
      <c r="E635" s="4" t="s">
        <v>1787</v>
      </c>
      <c r="F635" t="s">
        <v>636</v>
      </c>
      <c r="G635">
        <v>0.84179556369781494</v>
      </c>
      <c r="H635" t="s">
        <v>50</v>
      </c>
      <c r="I635">
        <v>0.7381446361541748</v>
      </c>
      <c r="J635" t="s">
        <v>90</v>
      </c>
      <c r="K635" s="4">
        <v>0.68211978673934937</v>
      </c>
      <c r="L635" t="s">
        <v>150</v>
      </c>
      <c r="M635">
        <v>9.9201139999999993E-2</v>
      </c>
      <c r="N635" t="s">
        <v>313</v>
      </c>
      <c r="O635">
        <v>9.0734190000000006E-2</v>
      </c>
      <c r="P635" t="s">
        <v>784</v>
      </c>
      <c r="Q635" s="4">
        <v>6.7768700000000001E-2</v>
      </c>
      <c r="R635" t="s">
        <v>668</v>
      </c>
      <c r="S635">
        <v>0.23941472</v>
      </c>
      <c r="T635" t="s">
        <v>174</v>
      </c>
      <c r="U635">
        <v>0.11285975600000001</v>
      </c>
      <c r="V635" t="s">
        <v>313</v>
      </c>
      <c r="W635">
        <v>7.3428384999999999E-2</v>
      </c>
    </row>
    <row r="636" spans="1:23" x14ac:dyDescent="0.25">
      <c r="A636" s="3" t="str">
        <f>HYPERLINK("http://ids.si.edu/ids/deliveryService?id=NMAH-RWS2015-07993","NMAH-RWS2015-07993")</f>
        <v>NMAH-RWS2015-07993</v>
      </c>
      <c r="B636" s="3" t="s">
        <v>1818</v>
      </c>
      <c r="C636" s="3">
        <v>1416695</v>
      </c>
      <c r="D636" s="3" t="s">
        <v>1716</v>
      </c>
      <c r="E636" s="4" t="s">
        <v>1819</v>
      </c>
      <c r="F636" t="s">
        <v>1124</v>
      </c>
      <c r="G636">
        <v>0.96884697675704956</v>
      </c>
      <c r="H636" t="s">
        <v>1459</v>
      </c>
      <c r="I636">
        <v>0.94925040006637573</v>
      </c>
      <c r="J636" t="s">
        <v>1191</v>
      </c>
      <c r="K636" s="4">
        <v>0.93867021799087524</v>
      </c>
      <c r="L636" t="s">
        <v>226</v>
      </c>
      <c r="M636">
        <v>0.51019543000000001</v>
      </c>
      <c r="N636" t="s">
        <v>79</v>
      </c>
      <c r="O636">
        <v>0.15728132</v>
      </c>
      <c r="P636" t="s">
        <v>358</v>
      </c>
      <c r="Q636" s="4">
        <v>0.12274948500000001</v>
      </c>
      <c r="R636" t="s">
        <v>364</v>
      </c>
      <c r="S636">
        <v>0.22701170000000001</v>
      </c>
      <c r="T636" t="s">
        <v>113</v>
      </c>
      <c r="U636">
        <v>8.4583749999999999E-2</v>
      </c>
      <c r="V636" t="s">
        <v>232</v>
      </c>
      <c r="W636">
        <v>8.0977179999999996E-2</v>
      </c>
    </row>
    <row r="637" spans="1:23" x14ac:dyDescent="0.25">
      <c r="A637" s="3" t="str">
        <f>HYPERLINK("http://ids.si.edu/ids/deliveryService?id=NMAH-AHB2013q044367","NMAH-AHB2013q044367")</f>
        <v>NMAH-AHB2013q044367</v>
      </c>
      <c r="B637" s="3" t="s">
        <v>1820</v>
      </c>
      <c r="C637" s="3">
        <v>1437386</v>
      </c>
      <c r="D637" s="3" t="s">
        <v>1716</v>
      </c>
      <c r="E637" s="4" t="s">
        <v>1763</v>
      </c>
      <c r="F637" t="s">
        <v>49</v>
      </c>
      <c r="G637">
        <v>0.88423585891723633</v>
      </c>
      <c r="H637" t="s">
        <v>50</v>
      </c>
      <c r="I637">
        <v>0.84106016159057617</v>
      </c>
      <c r="J637" t="s">
        <v>415</v>
      </c>
      <c r="K637" s="4">
        <v>0.52910643815994263</v>
      </c>
      <c r="L637" t="s">
        <v>174</v>
      </c>
      <c r="M637">
        <v>0.45918825000000002</v>
      </c>
      <c r="N637" t="s">
        <v>544</v>
      </c>
      <c r="O637">
        <v>0.13958741999999999</v>
      </c>
      <c r="P637" t="s">
        <v>336</v>
      </c>
      <c r="Q637" s="4">
        <v>0.12809175</v>
      </c>
      <c r="R637" t="s">
        <v>175</v>
      </c>
      <c r="S637">
        <v>0.25858563000000001</v>
      </c>
      <c r="T637" t="s">
        <v>1764</v>
      </c>
      <c r="U637">
        <v>0.11082634</v>
      </c>
      <c r="V637" t="s">
        <v>1093</v>
      </c>
      <c r="W637">
        <v>8.3723955000000003E-2</v>
      </c>
    </row>
    <row r="638" spans="1:23" x14ac:dyDescent="0.25">
      <c r="A638" s="3" t="str">
        <f>HYPERLINK("http://ids.si.edu/ids/deliveryService?id=NMAH-AHB2013q044945","NMAH-AHB2013q044945")</f>
        <v>NMAH-AHB2013q044945</v>
      </c>
      <c r="B638" s="3" t="s">
        <v>1821</v>
      </c>
      <c r="C638" s="3">
        <v>1438349</v>
      </c>
      <c r="D638" s="3" t="s">
        <v>1716</v>
      </c>
      <c r="E638" s="4" t="s">
        <v>1761</v>
      </c>
      <c r="F638" t="s">
        <v>50</v>
      </c>
      <c r="G638">
        <v>0.69359874725341797</v>
      </c>
      <c r="H638" t="s">
        <v>112</v>
      </c>
      <c r="I638">
        <v>0.68572378158569336</v>
      </c>
      <c r="J638" t="s">
        <v>1757</v>
      </c>
      <c r="K638" s="4">
        <v>0.59754437208175659</v>
      </c>
      <c r="L638" t="s">
        <v>336</v>
      </c>
      <c r="M638">
        <v>0.22761044999999999</v>
      </c>
      <c r="N638" t="s">
        <v>1028</v>
      </c>
      <c r="O638">
        <v>8.2689009999999993E-2</v>
      </c>
      <c r="P638" t="s">
        <v>149</v>
      </c>
      <c r="Q638" s="4">
        <v>7.7956689999999995E-2</v>
      </c>
      <c r="R638" t="s">
        <v>1764</v>
      </c>
      <c r="S638">
        <v>0.21777397000000001</v>
      </c>
      <c r="T638" t="s">
        <v>175</v>
      </c>
      <c r="U638">
        <v>0.19412657999999999</v>
      </c>
      <c r="V638" t="s">
        <v>71</v>
      </c>
      <c r="W638">
        <v>0.12192711000000001</v>
      </c>
    </row>
    <row r="639" spans="1:23" x14ac:dyDescent="0.25">
      <c r="A639" s="3" t="str">
        <f>HYPERLINK("http://ids.si.edu/ids/deliveryService?id=NMAH-AHB2013q043519","NMAH-AHB2013q043519")</f>
        <v>NMAH-AHB2013q043519</v>
      </c>
      <c r="B639" s="3" t="s">
        <v>1822</v>
      </c>
      <c r="C639" s="3">
        <v>1437483</v>
      </c>
      <c r="D639" s="3" t="s">
        <v>1716</v>
      </c>
      <c r="E639" s="4" t="s">
        <v>1727</v>
      </c>
      <c r="F639" t="s">
        <v>61</v>
      </c>
      <c r="G639">
        <v>0.88115477561950684</v>
      </c>
      <c r="H639" t="s">
        <v>1774</v>
      </c>
      <c r="I639">
        <v>0.79995149374008179</v>
      </c>
      <c r="J639" t="s">
        <v>112</v>
      </c>
      <c r="K639" s="4">
        <v>0.74956268072128296</v>
      </c>
      <c r="L639" t="s">
        <v>501</v>
      </c>
      <c r="M639">
        <v>0.12028469</v>
      </c>
      <c r="N639" t="s">
        <v>444</v>
      </c>
      <c r="O639">
        <v>0.11110933000000001</v>
      </c>
      <c r="P639" t="s">
        <v>66</v>
      </c>
      <c r="Q639" s="4">
        <v>0.10568526</v>
      </c>
      <c r="R639" t="s">
        <v>253</v>
      </c>
      <c r="S639">
        <v>0.13308236000000001</v>
      </c>
      <c r="T639" t="s">
        <v>66</v>
      </c>
      <c r="U639">
        <v>0.11440322</v>
      </c>
      <c r="V639" t="s">
        <v>151</v>
      </c>
      <c r="W639">
        <v>5.8659950000000002E-2</v>
      </c>
    </row>
    <row r="640" spans="1:23" x14ac:dyDescent="0.25">
      <c r="A640" s="3" t="str">
        <f>HYPERLINK("http://ids.si.edu/ids/deliveryService?id=NMAH-AHB2013q044230","NMAH-AHB2013q044230")</f>
        <v>NMAH-AHB2013q044230</v>
      </c>
      <c r="B640" s="3" t="s">
        <v>1823</v>
      </c>
      <c r="C640" s="3">
        <v>1437664</v>
      </c>
      <c r="D640" s="3" t="s">
        <v>1716</v>
      </c>
      <c r="E640" s="4" t="s">
        <v>1727</v>
      </c>
      <c r="F640" t="s">
        <v>50</v>
      </c>
      <c r="G640">
        <v>0.80266523361206055</v>
      </c>
      <c r="H640" t="s">
        <v>49</v>
      </c>
      <c r="I640">
        <v>0.77981817722320557</v>
      </c>
      <c r="J640" t="s">
        <v>415</v>
      </c>
      <c r="K640" s="4">
        <v>0.66887360811233521</v>
      </c>
      <c r="L640" t="s">
        <v>545</v>
      </c>
      <c r="M640">
        <v>0.99418914000000003</v>
      </c>
      <c r="N640" t="s">
        <v>174</v>
      </c>
      <c r="O640">
        <v>4.1891050000000003E-3</v>
      </c>
      <c r="P640" t="s">
        <v>336</v>
      </c>
      <c r="Q640" s="4">
        <v>7.4399169999999997E-4</v>
      </c>
      <c r="R640" t="s">
        <v>545</v>
      </c>
      <c r="S640">
        <v>0.90436006000000002</v>
      </c>
      <c r="T640" t="s">
        <v>174</v>
      </c>
      <c r="U640">
        <v>5.4043920000000002E-2</v>
      </c>
      <c r="V640" t="s">
        <v>159</v>
      </c>
      <c r="W640">
        <v>1.1419313E-2</v>
      </c>
    </row>
    <row r="641" spans="1:23" x14ac:dyDescent="0.25">
      <c r="A641" s="3" t="str">
        <f>HYPERLINK("http://ids.si.edu/ids/deliveryService?id=NMAH-AHB2013q044391","NMAH-AHB2013q044391")</f>
        <v>NMAH-AHB2013q044391</v>
      </c>
      <c r="B641" s="3" t="s">
        <v>1824</v>
      </c>
      <c r="C641" s="3">
        <v>1437404</v>
      </c>
      <c r="D641" s="3" t="s">
        <v>1716</v>
      </c>
      <c r="E641" s="4" t="s">
        <v>1763</v>
      </c>
      <c r="F641" t="s">
        <v>112</v>
      </c>
      <c r="G641">
        <v>0.74956268072128296</v>
      </c>
      <c r="H641" t="s">
        <v>49</v>
      </c>
      <c r="I641">
        <v>0.74775832891464233</v>
      </c>
      <c r="J641" t="s">
        <v>196</v>
      </c>
      <c r="K641" s="4">
        <v>0.7471240758895874</v>
      </c>
      <c r="L641" t="s">
        <v>336</v>
      </c>
      <c r="M641">
        <v>0.64491209999999999</v>
      </c>
      <c r="N641" t="s">
        <v>149</v>
      </c>
      <c r="O641">
        <v>0.35390880000000002</v>
      </c>
      <c r="P641" t="s">
        <v>148</v>
      </c>
      <c r="Q641" s="4">
        <v>3.693794E-4</v>
      </c>
      <c r="R641" t="s">
        <v>336</v>
      </c>
      <c r="S641">
        <v>0.87138146000000005</v>
      </c>
      <c r="T641" t="s">
        <v>95</v>
      </c>
      <c r="U641">
        <v>2.5573809999999999E-2</v>
      </c>
      <c r="V641" t="s">
        <v>149</v>
      </c>
      <c r="W641">
        <v>1.5617773E-2</v>
      </c>
    </row>
    <row r="642" spans="1:23" x14ac:dyDescent="0.25">
      <c r="A642" s="3" t="str">
        <f>HYPERLINK("http://ids.si.edu/ids/deliveryService?id=NMAH-AHB2013q045049","NMAH-AHB2013q045049")</f>
        <v>NMAH-AHB2013q045049</v>
      </c>
      <c r="B642" s="3" t="s">
        <v>1825</v>
      </c>
      <c r="C642" s="3">
        <v>1438512</v>
      </c>
      <c r="D642" s="3" t="s">
        <v>1716</v>
      </c>
      <c r="E642" s="4" t="s">
        <v>1761</v>
      </c>
      <c r="F642" t="s">
        <v>112</v>
      </c>
      <c r="G642">
        <v>0.88542389869689941</v>
      </c>
      <c r="H642" t="s">
        <v>61</v>
      </c>
      <c r="I642">
        <v>0.86929196119308472</v>
      </c>
      <c r="J642" t="s">
        <v>196</v>
      </c>
      <c r="K642" s="4">
        <v>0.82603394985198975</v>
      </c>
      <c r="L642" t="s">
        <v>585</v>
      </c>
      <c r="M642">
        <v>0.28588330000000001</v>
      </c>
      <c r="N642" t="s">
        <v>1338</v>
      </c>
      <c r="O642">
        <v>8.4576570000000004E-2</v>
      </c>
      <c r="P642" t="s">
        <v>654</v>
      </c>
      <c r="Q642" s="4">
        <v>7.2349555999999995E-2</v>
      </c>
      <c r="R642" t="s">
        <v>149</v>
      </c>
      <c r="S642">
        <v>0.102326326</v>
      </c>
      <c r="T642" t="s">
        <v>66</v>
      </c>
      <c r="U642">
        <v>7.7786579999999994E-2</v>
      </c>
      <c r="V642" t="s">
        <v>601</v>
      </c>
      <c r="W642">
        <v>6.1109412000000002E-2</v>
      </c>
    </row>
    <row r="643" spans="1:23" x14ac:dyDescent="0.25">
      <c r="A643" s="3" t="str">
        <f>HYPERLINK("http://ids.si.edu/ids/deliveryService?id=NMAH-NMAH2002-28081","NMAH-NMAH2002-28081")</f>
        <v>NMAH-NMAH2002-28081</v>
      </c>
      <c r="B643" s="3" t="s">
        <v>1826</v>
      </c>
      <c r="C643" s="3">
        <v>1344543</v>
      </c>
      <c r="D643" s="3" t="s">
        <v>1716</v>
      </c>
      <c r="E643" s="4" t="s">
        <v>1801</v>
      </c>
      <c r="F643" t="s">
        <v>91</v>
      </c>
      <c r="G643">
        <v>0.88283330202102661</v>
      </c>
      <c r="H643" t="s">
        <v>280</v>
      </c>
      <c r="I643">
        <v>0.69573855400085449</v>
      </c>
      <c r="J643" t="s">
        <v>50</v>
      </c>
      <c r="K643" s="4">
        <v>0.69359874725341797</v>
      </c>
      <c r="L643" t="s">
        <v>668</v>
      </c>
      <c r="M643">
        <v>0.47509187000000003</v>
      </c>
      <c r="N643" t="s">
        <v>442</v>
      </c>
      <c r="O643">
        <v>6.1515210000000001E-2</v>
      </c>
      <c r="P643" t="s">
        <v>493</v>
      </c>
      <c r="Q643" s="4">
        <v>4.7914352E-2</v>
      </c>
      <c r="R643" t="s">
        <v>442</v>
      </c>
      <c r="S643">
        <v>0.29109320000000011</v>
      </c>
      <c r="T643" t="s">
        <v>668</v>
      </c>
      <c r="U643">
        <v>0.16286454</v>
      </c>
      <c r="V643" t="s">
        <v>212</v>
      </c>
      <c r="W643">
        <v>0.16193157</v>
      </c>
    </row>
    <row r="644" spans="1:23" x14ac:dyDescent="0.25">
      <c r="A644" s="3" t="str">
        <f>HYPERLINK("http://ids.si.edu/ids/deliveryService?id=NMAH-2006-7436","NMAH-2006-7436")</f>
        <v>NMAH-2006-7436</v>
      </c>
      <c r="B644" s="3" t="s">
        <v>1827</v>
      </c>
      <c r="C644" s="3">
        <v>741033</v>
      </c>
      <c r="D644" s="3" t="s">
        <v>1716</v>
      </c>
      <c r="E644" s="4" t="s">
        <v>1828</v>
      </c>
      <c r="F644" t="s">
        <v>1829</v>
      </c>
      <c r="G644">
        <v>0.76383507251739502</v>
      </c>
      <c r="H644" t="s">
        <v>1259</v>
      </c>
      <c r="I644">
        <v>0.76022213697433472</v>
      </c>
      <c r="J644" t="s">
        <v>90</v>
      </c>
      <c r="K644" s="4">
        <v>0.61177396774291992</v>
      </c>
      <c r="L644" t="s">
        <v>678</v>
      </c>
      <c r="M644">
        <v>0.37698007</v>
      </c>
      <c r="N644" t="s">
        <v>93</v>
      </c>
      <c r="O644">
        <v>0.15719453999999999</v>
      </c>
      <c r="P644" t="s">
        <v>443</v>
      </c>
      <c r="Q644" s="4">
        <v>6.9064520000000004E-2</v>
      </c>
      <c r="R644" t="s">
        <v>678</v>
      </c>
      <c r="S644">
        <v>0.77996944999999995</v>
      </c>
      <c r="T644" t="s">
        <v>336</v>
      </c>
      <c r="U644">
        <v>7.0173490000000005E-2</v>
      </c>
      <c r="V644" t="s">
        <v>95</v>
      </c>
      <c r="W644">
        <v>4.4810830000000003E-2</v>
      </c>
    </row>
    <row r="645" spans="1:23" x14ac:dyDescent="0.25">
      <c r="A645" s="3" t="str">
        <f>HYPERLINK("http://ids.si.edu/ids/deliveryService?id=NMAH-AHB2013q045023","NMAH-AHB2013q045023")</f>
        <v>NMAH-AHB2013q045023</v>
      </c>
      <c r="B645" s="3" t="s">
        <v>1830</v>
      </c>
      <c r="C645" s="3">
        <v>1438495</v>
      </c>
      <c r="D645" s="3" t="s">
        <v>1716</v>
      </c>
      <c r="E645" s="4" t="s">
        <v>1761</v>
      </c>
      <c r="F645" t="s">
        <v>196</v>
      </c>
      <c r="G645">
        <v>0.8919602632522583</v>
      </c>
      <c r="H645" t="s">
        <v>112</v>
      </c>
      <c r="I645">
        <v>0.81951183080673218</v>
      </c>
      <c r="J645" t="s">
        <v>1784</v>
      </c>
      <c r="K645" s="4">
        <v>0.60457366704940796</v>
      </c>
      <c r="L645" t="s">
        <v>784</v>
      </c>
      <c r="M645">
        <v>9.5548720000000004E-2</v>
      </c>
      <c r="N645" t="s">
        <v>35</v>
      </c>
      <c r="O645">
        <v>6.6677040000000007E-2</v>
      </c>
      <c r="P645" t="s">
        <v>658</v>
      </c>
      <c r="Q645" s="4">
        <v>4.3607686E-2</v>
      </c>
      <c r="R645" t="s">
        <v>175</v>
      </c>
      <c r="S645">
        <v>6.0815809999999998E-2</v>
      </c>
      <c r="T645" t="s">
        <v>277</v>
      </c>
      <c r="U645">
        <v>5.9501476999999997E-2</v>
      </c>
      <c r="V645" t="s">
        <v>84</v>
      </c>
      <c r="W645">
        <v>4.6009443999999997E-2</v>
      </c>
    </row>
    <row r="646" spans="1:23" x14ac:dyDescent="0.25">
      <c r="A646" s="3" t="str">
        <f>HYPERLINK("http://ids.si.edu/ids/deliveryService?id=NMAH-NMAH2002-31241","NMAH-NMAH2002-31241")</f>
        <v>NMAH-NMAH2002-31241</v>
      </c>
      <c r="B646" s="3" t="s">
        <v>1831</v>
      </c>
      <c r="C646" s="3">
        <v>702012</v>
      </c>
      <c r="D646" s="3" t="s">
        <v>1716</v>
      </c>
      <c r="E646" s="4" t="s">
        <v>1801</v>
      </c>
      <c r="F646" t="s">
        <v>50</v>
      </c>
      <c r="G646">
        <v>0.7537727952003479</v>
      </c>
      <c r="H646" t="s">
        <v>636</v>
      </c>
      <c r="I646">
        <v>0.74996978044509888</v>
      </c>
      <c r="J646" t="s">
        <v>1832</v>
      </c>
      <c r="K646" s="4">
        <v>0.67185491323471069</v>
      </c>
      <c r="L646" t="s">
        <v>451</v>
      </c>
      <c r="M646">
        <v>0.19691537000000001</v>
      </c>
      <c r="N646" t="s">
        <v>369</v>
      </c>
      <c r="O646">
        <v>0.19683632000000001</v>
      </c>
      <c r="P646" t="s">
        <v>175</v>
      </c>
      <c r="Q646" s="4">
        <v>8.6289755999999995E-2</v>
      </c>
      <c r="R646" t="s">
        <v>175</v>
      </c>
      <c r="S646">
        <v>0.36675732999999999</v>
      </c>
      <c r="T646" t="s">
        <v>451</v>
      </c>
      <c r="U646">
        <v>0.22727396999999999</v>
      </c>
      <c r="V646" t="s">
        <v>93</v>
      </c>
      <c r="W646">
        <v>7.2866410000000006E-2</v>
      </c>
    </row>
    <row r="647" spans="1:23" x14ac:dyDescent="0.25">
      <c r="A647" s="3" t="str">
        <f>HYPERLINK("http://ids.si.edu/ids/deliveryService?id=NMAH-AHB2013q044405","NMAH-AHB2013q044405")</f>
        <v>NMAH-AHB2013q044405</v>
      </c>
      <c r="B647" s="3" t="s">
        <v>1833</v>
      </c>
      <c r="C647" s="3">
        <v>1437424</v>
      </c>
      <c r="D647" s="3" t="s">
        <v>1716</v>
      </c>
      <c r="E647" s="4" t="s">
        <v>1763</v>
      </c>
      <c r="F647" t="s">
        <v>49</v>
      </c>
      <c r="G647">
        <v>0.90191459655761719</v>
      </c>
      <c r="H647" t="s">
        <v>50</v>
      </c>
      <c r="I647">
        <v>0.79537171125411987</v>
      </c>
      <c r="J647" t="s">
        <v>112</v>
      </c>
      <c r="K647" s="4">
        <v>0.74956268072128296</v>
      </c>
      <c r="L647" t="s">
        <v>336</v>
      </c>
      <c r="M647">
        <v>0.45287802999999999</v>
      </c>
      <c r="N647" t="s">
        <v>239</v>
      </c>
      <c r="O647">
        <v>8.5457710000000006E-2</v>
      </c>
      <c r="P647" t="s">
        <v>149</v>
      </c>
      <c r="Q647" s="4">
        <v>7.3568690000000006E-2</v>
      </c>
      <c r="R647" t="s">
        <v>175</v>
      </c>
      <c r="S647">
        <v>0.21219473999999999</v>
      </c>
      <c r="T647" t="s">
        <v>336</v>
      </c>
      <c r="U647">
        <v>0.13327537</v>
      </c>
      <c r="V647" t="s">
        <v>706</v>
      </c>
      <c r="W647">
        <v>0.11188475000000001</v>
      </c>
    </row>
    <row r="648" spans="1:23" x14ac:dyDescent="0.25">
      <c r="A648" s="3" t="str">
        <f>HYPERLINK("http://ids.si.edu/ids/deliveryService?id=NMAH-83-9979","NMAH-83-9979")</f>
        <v>NMAH-83-9979</v>
      </c>
      <c r="B648" s="3" t="s">
        <v>1834</v>
      </c>
      <c r="C648" s="3">
        <v>1204715</v>
      </c>
      <c r="D648" s="3" t="s">
        <v>1716</v>
      </c>
      <c r="E648" s="4" t="s">
        <v>1835</v>
      </c>
      <c r="F648" t="s">
        <v>1836</v>
      </c>
      <c r="G648">
        <v>0.98001056909561157</v>
      </c>
      <c r="H648" t="s">
        <v>1837</v>
      </c>
      <c r="I648">
        <v>0.92449957132339478</v>
      </c>
      <c r="J648" t="s">
        <v>1838</v>
      </c>
      <c r="K648" s="4">
        <v>0.84119027853012085</v>
      </c>
      <c r="L648" t="s">
        <v>369</v>
      </c>
      <c r="M648">
        <v>0.68466895999999999</v>
      </c>
      <c r="N648" t="s">
        <v>183</v>
      </c>
      <c r="O648">
        <v>0.21873570000000001</v>
      </c>
      <c r="P648" t="s">
        <v>1184</v>
      </c>
      <c r="Q648" s="4">
        <v>5.1023304000000012E-2</v>
      </c>
      <c r="R648" t="s">
        <v>369</v>
      </c>
      <c r="S648">
        <v>0.79790240000000001</v>
      </c>
      <c r="T648" t="s">
        <v>183</v>
      </c>
      <c r="U648">
        <v>0.17513287</v>
      </c>
      <c r="V648" t="s">
        <v>313</v>
      </c>
      <c r="W648">
        <v>5.7640796999999999E-3</v>
      </c>
    </row>
    <row r="649" spans="1:23" x14ac:dyDescent="0.25">
      <c r="A649" s="3" t="str">
        <f>HYPERLINK("http://ids.si.edu/ids/deliveryService?id=NMAH-AHB2009q18330-000001","NMAH-AHB2009q18330-000001")</f>
        <v>NMAH-AHB2009q18330-000001</v>
      </c>
      <c r="B649" s="3" t="s">
        <v>1839</v>
      </c>
      <c r="C649" s="3">
        <v>892239</v>
      </c>
      <c r="D649" s="3" t="s">
        <v>1716</v>
      </c>
      <c r="E649" s="4" t="s">
        <v>1840</v>
      </c>
      <c r="F649" t="s">
        <v>441</v>
      </c>
      <c r="G649">
        <v>0.7457471489906311</v>
      </c>
      <c r="H649" t="s">
        <v>1841</v>
      </c>
      <c r="I649">
        <v>0.69382202625274658</v>
      </c>
      <c r="J649" t="s">
        <v>1066</v>
      </c>
      <c r="K649" s="4">
        <v>0.66855061054229736</v>
      </c>
      <c r="L649" t="s">
        <v>1099</v>
      </c>
      <c r="M649">
        <v>0.38818678000000001</v>
      </c>
      <c r="N649" t="s">
        <v>599</v>
      </c>
      <c r="O649">
        <v>0.22801551</v>
      </c>
      <c r="P649" t="s">
        <v>93</v>
      </c>
      <c r="Q649" s="4">
        <v>9.9501125999999995E-2</v>
      </c>
      <c r="R649" t="s">
        <v>609</v>
      </c>
      <c r="S649">
        <v>0.45887850000000002</v>
      </c>
      <c r="T649" t="s">
        <v>1099</v>
      </c>
      <c r="U649">
        <v>0.31659697999999997</v>
      </c>
      <c r="V649" t="s">
        <v>93</v>
      </c>
      <c r="W649">
        <v>6.9913014999999995E-2</v>
      </c>
    </row>
    <row r="650" spans="1:23" x14ac:dyDescent="0.25">
      <c r="A650" s="3" t="str">
        <f>HYPERLINK("http://ids.si.edu/ids/deliveryService?id=NMAH-NMAH2001-20086","NMAH-NMAH2001-20086")</f>
        <v>NMAH-NMAH2001-20086</v>
      </c>
      <c r="B650" s="3" t="s">
        <v>1842</v>
      </c>
      <c r="C650" s="3">
        <v>687697</v>
      </c>
      <c r="D650" s="3" t="s">
        <v>1716</v>
      </c>
      <c r="E650" s="4" t="s">
        <v>1843</v>
      </c>
      <c r="F650" t="s">
        <v>91</v>
      </c>
      <c r="G650">
        <v>0.91031128168106079</v>
      </c>
      <c r="H650" t="s">
        <v>574</v>
      </c>
      <c r="I650">
        <v>0.6646498441696167</v>
      </c>
      <c r="J650" t="s">
        <v>50</v>
      </c>
      <c r="K650" s="4">
        <v>0.6591346263885498</v>
      </c>
      <c r="L650" t="s">
        <v>495</v>
      </c>
      <c r="M650">
        <v>0.59064454</v>
      </c>
      <c r="N650" t="s">
        <v>706</v>
      </c>
      <c r="O650">
        <v>0.13090650000000001</v>
      </c>
      <c r="P650" t="s">
        <v>82</v>
      </c>
      <c r="Q650" s="4">
        <v>8.2796350000000005E-2</v>
      </c>
      <c r="R650" t="s">
        <v>239</v>
      </c>
      <c r="S650">
        <v>0.66973169999999993</v>
      </c>
      <c r="T650" t="s">
        <v>82</v>
      </c>
      <c r="U650">
        <v>6.1154212999999999E-2</v>
      </c>
      <c r="V650" t="s">
        <v>141</v>
      </c>
      <c r="W650">
        <v>5.9677105000000001E-2</v>
      </c>
    </row>
    <row r="651" spans="1:23" x14ac:dyDescent="0.25">
      <c r="A651" s="3" t="str">
        <f>HYPERLINK("http://ids.si.edu/ids/deliveryService?id=NMAH-ET2014-01070","NMAH-ET2014-01070")</f>
        <v>NMAH-ET2014-01070</v>
      </c>
      <c r="B651" s="3" t="s">
        <v>1844</v>
      </c>
      <c r="C651" s="3">
        <v>857083</v>
      </c>
      <c r="D651" s="3" t="s">
        <v>1716</v>
      </c>
      <c r="E651" s="4" t="s">
        <v>1845</v>
      </c>
      <c r="F651" t="s">
        <v>292</v>
      </c>
      <c r="G651">
        <v>0.91536819934844971</v>
      </c>
      <c r="H651" t="s">
        <v>281</v>
      </c>
      <c r="I651">
        <v>0.90896022319793701</v>
      </c>
      <c r="J651" t="s">
        <v>1846</v>
      </c>
      <c r="K651" s="4">
        <v>0.90100371837615967</v>
      </c>
      <c r="L651" t="s">
        <v>493</v>
      </c>
      <c r="M651">
        <v>0.62701594999999999</v>
      </c>
      <c r="N651" t="s">
        <v>1236</v>
      </c>
      <c r="O651">
        <v>0.1889381</v>
      </c>
      <c r="P651" t="s">
        <v>1780</v>
      </c>
      <c r="Q651" s="4">
        <v>0.13162887000000001</v>
      </c>
      <c r="R651" t="s">
        <v>493</v>
      </c>
      <c r="S651">
        <v>0.71599793</v>
      </c>
      <c r="T651" t="s">
        <v>1780</v>
      </c>
      <c r="U651">
        <v>0.19971881999999999</v>
      </c>
      <c r="V651" t="s">
        <v>1236</v>
      </c>
      <c r="W651">
        <v>4.4262910000000003E-2</v>
      </c>
    </row>
    <row r="652" spans="1:23" x14ac:dyDescent="0.25">
      <c r="A652" s="3" t="str">
        <f>HYPERLINK("http://ids.si.edu/ids/deliveryService?id=NMAH-AHB2013q045045","NMAH-AHB2013q045045")</f>
        <v>NMAH-AHB2013q045045</v>
      </c>
      <c r="B652" s="3" t="s">
        <v>1847</v>
      </c>
      <c r="C652" s="3">
        <v>1438510</v>
      </c>
      <c r="D652" s="3" t="s">
        <v>1716</v>
      </c>
      <c r="E652" s="4" t="s">
        <v>1763</v>
      </c>
      <c r="F652" t="s">
        <v>61</v>
      </c>
      <c r="G652">
        <v>0.85248786211013794</v>
      </c>
      <c r="H652" t="s">
        <v>112</v>
      </c>
      <c r="I652">
        <v>0.81951183080673218</v>
      </c>
      <c r="J652" t="s">
        <v>196</v>
      </c>
      <c r="K652" s="4">
        <v>0.65323799848556519</v>
      </c>
      <c r="L652" t="s">
        <v>1093</v>
      </c>
      <c r="M652">
        <v>0.38090950000000001</v>
      </c>
      <c r="N652" t="s">
        <v>460</v>
      </c>
      <c r="O652">
        <v>7.8202404000000003E-2</v>
      </c>
      <c r="P652" t="s">
        <v>336</v>
      </c>
      <c r="Q652" s="4">
        <v>7.1535769999999999E-2</v>
      </c>
      <c r="R652" t="s">
        <v>71</v>
      </c>
      <c r="S652">
        <v>8.090401400000001E-2</v>
      </c>
      <c r="T652" t="s">
        <v>175</v>
      </c>
      <c r="U652">
        <v>7.9490469999999994E-2</v>
      </c>
      <c r="V652" t="s">
        <v>31</v>
      </c>
      <c r="W652">
        <v>5.8522478000000003E-2</v>
      </c>
    </row>
    <row r="653" spans="1:23" x14ac:dyDescent="0.25">
      <c r="A653" s="3" t="str">
        <f>HYPERLINK("http://ids.si.edu/ids/deliveryService?id=NMAH-AHB2013q043943","NMAH-AHB2013q043943")</f>
        <v>NMAH-AHB2013q043943</v>
      </c>
      <c r="B653" s="3" t="s">
        <v>1848</v>
      </c>
      <c r="C653" s="3">
        <v>1437321</v>
      </c>
      <c r="D653" s="3" t="s">
        <v>1716</v>
      </c>
      <c r="E653" s="4" t="s">
        <v>1727</v>
      </c>
      <c r="F653" t="s">
        <v>49</v>
      </c>
      <c r="G653">
        <v>0.87800806760787964</v>
      </c>
      <c r="H653" t="s">
        <v>196</v>
      </c>
      <c r="I653">
        <v>0.85165160894393921</v>
      </c>
      <c r="J653" t="s">
        <v>50</v>
      </c>
      <c r="K653" s="4">
        <v>0.7381446361541748</v>
      </c>
      <c r="L653" t="s">
        <v>1218</v>
      </c>
      <c r="M653">
        <v>0.13922087999999999</v>
      </c>
      <c r="N653" t="s">
        <v>261</v>
      </c>
      <c r="O653">
        <v>0.10955703999999999</v>
      </c>
      <c r="P653" t="s">
        <v>369</v>
      </c>
      <c r="Q653" s="4">
        <v>5.9352120000000001E-2</v>
      </c>
      <c r="R653" t="s">
        <v>261</v>
      </c>
      <c r="S653">
        <v>0.29147782999999999</v>
      </c>
      <c r="T653" t="s">
        <v>1184</v>
      </c>
      <c r="U653">
        <v>6.0294176999999997E-2</v>
      </c>
      <c r="V653" t="s">
        <v>175</v>
      </c>
      <c r="W653">
        <v>6.0247849999999999E-2</v>
      </c>
    </row>
    <row r="654" spans="1:23" x14ac:dyDescent="0.25">
      <c r="A654" s="3" t="str">
        <f>HYPERLINK("http://ids.si.edu/ids/deliveryService?id=NMAH-AHB2013q044256","NMAH-AHB2013q044256")</f>
        <v>NMAH-AHB2013q044256</v>
      </c>
      <c r="B654" s="3" t="s">
        <v>1849</v>
      </c>
      <c r="C654" s="3">
        <v>1437245</v>
      </c>
      <c r="D654" s="3" t="s">
        <v>1716</v>
      </c>
      <c r="E654" s="4" t="s">
        <v>1798</v>
      </c>
      <c r="F654" t="s">
        <v>132</v>
      </c>
      <c r="G654">
        <v>0.83633017539978027</v>
      </c>
      <c r="H654" t="s">
        <v>49</v>
      </c>
      <c r="I654">
        <v>0.83254188299179077</v>
      </c>
      <c r="J654" t="s">
        <v>310</v>
      </c>
      <c r="K654" s="4">
        <v>0.79332834482192993</v>
      </c>
      <c r="L654" t="s">
        <v>336</v>
      </c>
      <c r="M654">
        <v>0.97332655999999995</v>
      </c>
      <c r="N654" t="s">
        <v>1728</v>
      </c>
      <c r="O654">
        <v>8.5995350000000002E-3</v>
      </c>
      <c r="P654" t="s">
        <v>259</v>
      </c>
      <c r="Q654" s="4">
        <v>6.100304E-3</v>
      </c>
      <c r="R654" t="s">
        <v>336</v>
      </c>
      <c r="S654">
        <v>0.44740370000000002</v>
      </c>
      <c r="T654" t="s">
        <v>706</v>
      </c>
      <c r="U654">
        <v>0.20251346000000001</v>
      </c>
      <c r="V654" t="s">
        <v>175</v>
      </c>
      <c r="W654">
        <v>5.4165360000000003E-2</v>
      </c>
    </row>
    <row r="655" spans="1:23" x14ac:dyDescent="0.25">
      <c r="A655" s="3" t="str">
        <f>HYPERLINK("http://ids.si.edu/ids/deliveryService?id=NMAH-ET2014-41123-000002","NMAH-ET2014-41123-000002")</f>
        <v>NMAH-ET2014-41123-000002</v>
      </c>
      <c r="B655" s="3" t="s">
        <v>1850</v>
      </c>
      <c r="C655" s="3">
        <v>1695326</v>
      </c>
      <c r="D655" s="3" t="s">
        <v>1716</v>
      </c>
      <c r="E655" s="4" t="s">
        <v>1851</v>
      </c>
      <c r="F655" t="s">
        <v>603</v>
      </c>
      <c r="G655">
        <v>0.9487798810005188</v>
      </c>
      <c r="H655" t="s">
        <v>62</v>
      </c>
      <c r="I655">
        <v>0.62534767389297485</v>
      </c>
      <c r="J655" t="s">
        <v>604</v>
      </c>
      <c r="K655" s="4">
        <v>0.52791756391525269</v>
      </c>
      <c r="L655" t="s">
        <v>79</v>
      </c>
      <c r="M655">
        <v>8.774788E-2</v>
      </c>
      <c r="N655" t="s">
        <v>1093</v>
      </c>
      <c r="O655">
        <v>8.7274630000000006E-2</v>
      </c>
      <c r="P655" t="s">
        <v>66</v>
      </c>
      <c r="Q655" s="4">
        <v>5.8978650000000001E-2</v>
      </c>
      <c r="R655" t="s">
        <v>66</v>
      </c>
      <c r="S655">
        <v>0.32900183999999999</v>
      </c>
      <c r="T655" t="s">
        <v>129</v>
      </c>
      <c r="U655">
        <v>0.12590519999999999</v>
      </c>
      <c r="V655" t="s">
        <v>183</v>
      </c>
      <c r="W655">
        <v>0.10719178</v>
      </c>
    </row>
    <row r="656" spans="1:23" x14ac:dyDescent="0.25">
      <c r="A656" s="3" t="str">
        <f>HYPERLINK("http://ids.si.edu/ids/deliveryService?id=NMAH-AHB2013q044140","NMAH-AHB2013q044140")</f>
        <v>NMAH-AHB2013q044140</v>
      </c>
      <c r="B656" s="3" t="s">
        <v>1852</v>
      </c>
      <c r="C656" s="3">
        <v>1437577</v>
      </c>
      <c r="D656" s="3" t="s">
        <v>1716</v>
      </c>
      <c r="E656" s="4" t="s">
        <v>1763</v>
      </c>
      <c r="F656" t="s">
        <v>1774</v>
      </c>
      <c r="G656">
        <v>0.85806143283843994</v>
      </c>
      <c r="H656" t="s">
        <v>49</v>
      </c>
      <c r="I656">
        <v>0.73569571971893311</v>
      </c>
      <c r="J656" t="s">
        <v>112</v>
      </c>
      <c r="K656" s="4">
        <v>0.68572378158569336</v>
      </c>
      <c r="L656" t="s">
        <v>43</v>
      </c>
      <c r="M656">
        <v>0.21780142</v>
      </c>
      <c r="N656" t="s">
        <v>149</v>
      </c>
      <c r="O656">
        <v>0.13623999000000001</v>
      </c>
      <c r="P656" t="s">
        <v>336</v>
      </c>
      <c r="Q656" s="4">
        <v>9.1399624999999998E-2</v>
      </c>
      <c r="R656" t="s">
        <v>336</v>
      </c>
      <c r="S656">
        <v>0.35736620000000002</v>
      </c>
      <c r="T656" t="s">
        <v>95</v>
      </c>
      <c r="U656">
        <v>0.12975289000000001</v>
      </c>
      <c r="V656" t="s">
        <v>365</v>
      </c>
      <c r="W656">
        <v>5.6115291999999997E-2</v>
      </c>
    </row>
    <row r="657" spans="1:23" x14ac:dyDescent="0.25">
      <c r="A657" s="3" t="str">
        <f>HYPERLINK("http://ids.si.edu/ids/deliveryService?id=NMAH-AHB2013q042111","NMAH-AHB2013q042111")</f>
        <v>NMAH-AHB2013q042111</v>
      </c>
      <c r="B657" s="3" t="s">
        <v>1853</v>
      </c>
      <c r="C657" s="3">
        <v>1386811</v>
      </c>
      <c r="D657" s="3" t="s">
        <v>1716</v>
      </c>
      <c r="E657" s="4" t="s">
        <v>1854</v>
      </c>
      <c r="F657" t="s">
        <v>61</v>
      </c>
      <c r="G657">
        <v>0.92879420518875122</v>
      </c>
      <c r="H657" t="s">
        <v>112</v>
      </c>
      <c r="I657">
        <v>0.80401664972305298</v>
      </c>
      <c r="J657" t="s">
        <v>196</v>
      </c>
      <c r="K657" s="4">
        <v>0.55351418256759644</v>
      </c>
      <c r="L657" t="s">
        <v>1338</v>
      </c>
      <c r="M657">
        <v>0.22642829</v>
      </c>
      <c r="N657" t="s">
        <v>335</v>
      </c>
      <c r="O657">
        <v>0.119872145</v>
      </c>
      <c r="P657" t="s">
        <v>404</v>
      </c>
      <c r="Q657" s="4">
        <v>0.10633299</v>
      </c>
      <c r="R657" t="s">
        <v>149</v>
      </c>
      <c r="S657">
        <v>0.20643839999999999</v>
      </c>
      <c r="T657" t="s">
        <v>335</v>
      </c>
      <c r="U657">
        <v>0.17891586000000001</v>
      </c>
      <c r="V657" t="s">
        <v>571</v>
      </c>
      <c r="W657">
        <v>9.8703929999999995E-2</v>
      </c>
    </row>
    <row r="658" spans="1:23" x14ac:dyDescent="0.25">
      <c r="A658" s="3" t="str">
        <f>HYPERLINK("http://ids.si.edu/ids/deliveryService?id=NMAH-AHB2010q73261","NMAH-AHB2010q73261")</f>
        <v>NMAH-AHB2010q73261</v>
      </c>
      <c r="B658" s="3" t="s">
        <v>1855</v>
      </c>
      <c r="C658" s="3">
        <v>1121846</v>
      </c>
      <c r="D658" s="3" t="s">
        <v>1716</v>
      </c>
      <c r="E658" s="4" t="s">
        <v>1856</v>
      </c>
      <c r="F658" t="s">
        <v>1857</v>
      </c>
      <c r="G658">
        <v>0.53348088264465332</v>
      </c>
      <c r="H658" t="s">
        <v>50</v>
      </c>
      <c r="I658">
        <v>0.5114516019821167</v>
      </c>
      <c r="L658" t="s">
        <v>157</v>
      </c>
      <c r="M658">
        <v>0.2010729</v>
      </c>
      <c r="N658" t="s">
        <v>559</v>
      </c>
      <c r="O658">
        <v>0.19436719999999999</v>
      </c>
      <c r="P658" t="s">
        <v>175</v>
      </c>
      <c r="Q658" s="4">
        <v>8.4185360000000001E-2</v>
      </c>
      <c r="R658" t="s">
        <v>157</v>
      </c>
      <c r="S658">
        <v>0.23319344</v>
      </c>
      <c r="T658" t="s">
        <v>1093</v>
      </c>
      <c r="U658">
        <v>0.15307003</v>
      </c>
      <c r="V658" t="s">
        <v>879</v>
      </c>
      <c r="W658">
        <v>0.10393937</v>
      </c>
    </row>
    <row r="659" spans="1:23" x14ac:dyDescent="0.25">
      <c r="A659" s="3" t="str">
        <f>HYPERLINK("http://ids.si.edu/ids/deliveryService?id=NMAH-AHB2013q044270","NMAH-AHB2013q044270")</f>
        <v>NMAH-AHB2013q044270</v>
      </c>
      <c r="B659" s="3" t="s">
        <v>1858</v>
      </c>
      <c r="C659" s="3">
        <v>1437253</v>
      </c>
      <c r="D659" s="3" t="s">
        <v>1716</v>
      </c>
      <c r="E659" s="4" t="s">
        <v>1763</v>
      </c>
      <c r="F659" t="s">
        <v>112</v>
      </c>
      <c r="G659">
        <v>0.68572378158569336</v>
      </c>
      <c r="H659" t="s">
        <v>49</v>
      </c>
      <c r="I659">
        <v>0.67519748210906982</v>
      </c>
      <c r="J659" t="s">
        <v>1757</v>
      </c>
      <c r="K659" s="4">
        <v>0.65993106365203857</v>
      </c>
      <c r="L659" t="s">
        <v>336</v>
      </c>
      <c r="M659">
        <v>0.95893479999999998</v>
      </c>
      <c r="N659" t="s">
        <v>149</v>
      </c>
      <c r="O659">
        <v>2.5782797E-2</v>
      </c>
      <c r="P659" t="s">
        <v>544</v>
      </c>
      <c r="Q659" s="4">
        <v>4.5027640000000002E-3</v>
      </c>
      <c r="R659" t="s">
        <v>336</v>
      </c>
      <c r="S659">
        <v>0.27600908000000002</v>
      </c>
      <c r="T659" t="s">
        <v>149</v>
      </c>
      <c r="U659">
        <v>0.25379323999999998</v>
      </c>
      <c r="V659" t="s">
        <v>148</v>
      </c>
      <c r="W659">
        <v>0.2327388</v>
      </c>
    </row>
    <row r="660" spans="1:23" x14ac:dyDescent="0.25">
      <c r="A660" s="3" t="str">
        <f>HYPERLINK("http://ids.si.edu/ids/deliveryService?id=NMAH-NMAH2002-29812","NMAH-NMAH2002-29812")</f>
        <v>NMAH-NMAH2002-29812</v>
      </c>
      <c r="B660" s="3" t="s">
        <v>1859</v>
      </c>
      <c r="C660" s="3">
        <v>687709</v>
      </c>
      <c r="D660" s="3" t="s">
        <v>1716</v>
      </c>
      <c r="E660" s="4" t="s">
        <v>1860</v>
      </c>
      <c r="F660" t="s">
        <v>1861</v>
      </c>
      <c r="G660">
        <v>0.93208193778991699</v>
      </c>
      <c r="H660" t="s">
        <v>49</v>
      </c>
      <c r="I660">
        <v>0.87071079015731812</v>
      </c>
      <c r="J660" t="s">
        <v>636</v>
      </c>
      <c r="K660" s="4">
        <v>0.81025630235671997</v>
      </c>
      <c r="L660" t="s">
        <v>411</v>
      </c>
      <c r="M660">
        <v>0.51795535999999998</v>
      </c>
      <c r="N660" t="s">
        <v>784</v>
      </c>
      <c r="O660">
        <v>0.14272206000000001</v>
      </c>
      <c r="P660" t="s">
        <v>150</v>
      </c>
      <c r="Q660" s="4">
        <v>6.7342260000000001E-2</v>
      </c>
      <c r="R660" t="s">
        <v>804</v>
      </c>
      <c r="S660">
        <v>0.20658533000000001</v>
      </c>
      <c r="T660" t="s">
        <v>1803</v>
      </c>
      <c r="U660">
        <v>0.18324731</v>
      </c>
      <c r="V660" t="s">
        <v>314</v>
      </c>
      <c r="W660">
        <v>9.1513849999999994E-2</v>
      </c>
    </row>
    <row r="661" spans="1:23" x14ac:dyDescent="0.25">
      <c r="A661" s="3" t="str">
        <f>HYPERLINK("http://ids.si.edu/ids/deliveryService?id=NMAH-AHB2013q044092","NMAH-AHB2013q044092")</f>
        <v>NMAH-AHB2013q044092</v>
      </c>
      <c r="B661" s="3" t="s">
        <v>1862</v>
      </c>
      <c r="C661" s="3">
        <v>1437552</v>
      </c>
      <c r="D661" s="3" t="s">
        <v>1716</v>
      </c>
      <c r="E661" s="4" t="s">
        <v>1763</v>
      </c>
      <c r="F661" t="s">
        <v>112</v>
      </c>
      <c r="G661">
        <v>0.68572378158569336</v>
      </c>
      <c r="H661" t="s">
        <v>196</v>
      </c>
      <c r="I661">
        <v>0.64450818300247192</v>
      </c>
      <c r="J661" t="s">
        <v>206</v>
      </c>
      <c r="K661" s="4">
        <v>0.59933161735534668</v>
      </c>
      <c r="L661" t="s">
        <v>149</v>
      </c>
      <c r="M661">
        <v>0.80299175</v>
      </c>
      <c r="N661" t="s">
        <v>1863</v>
      </c>
      <c r="O661">
        <v>1.0479749999999999E-2</v>
      </c>
      <c r="P661" t="s">
        <v>1812</v>
      </c>
      <c r="Q661" s="4">
        <v>9.4754920000000003E-3</v>
      </c>
      <c r="R661" t="s">
        <v>149</v>
      </c>
      <c r="S661">
        <v>0.49690634</v>
      </c>
      <c r="T661" t="s">
        <v>312</v>
      </c>
      <c r="U661">
        <v>5.0088100000000003E-2</v>
      </c>
      <c r="V661" t="s">
        <v>170</v>
      </c>
      <c r="W661">
        <v>4.009886E-2</v>
      </c>
    </row>
    <row r="662" spans="1:23" x14ac:dyDescent="0.25">
      <c r="A662" s="3" t="str">
        <f>HYPERLINK("http://ids.si.edu/ids/deliveryService?id=NMAH-JN2014-3380","NMAH-JN2014-3380")</f>
        <v>NMAH-JN2014-3380</v>
      </c>
      <c r="B662" s="3" t="s">
        <v>1864</v>
      </c>
      <c r="C662" s="3">
        <v>1449997</v>
      </c>
      <c r="D662" s="3" t="s">
        <v>1716</v>
      </c>
      <c r="E662" s="4" t="s">
        <v>1865</v>
      </c>
      <c r="F662" t="s">
        <v>1283</v>
      </c>
      <c r="G662">
        <v>0.98177719116210938</v>
      </c>
      <c r="H662" t="s">
        <v>1866</v>
      </c>
      <c r="I662">
        <v>0.96616184711456299</v>
      </c>
      <c r="J662" t="s">
        <v>179</v>
      </c>
      <c r="K662" s="4">
        <v>0.78293013572692871</v>
      </c>
      <c r="L662" t="s">
        <v>305</v>
      </c>
      <c r="M662">
        <v>0.24506538999999999</v>
      </c>
      <c r="N662" t="s">
        <v>314</v>
      </c>
      <c r="O662">
        <v>7.4298575999999991E-2</v>
      </c>
      <c r="P662" t="s">
        <v>83</v>
      </c>
      <c r="Q662" s="4">
        <v>5.353981E-2</v>
      </c>
      <c r="R662" t="s">
        <v>141</v>
      </c>
      <c r="S662">
        <v>0.16911164000000001</v>
      </c>
      <c r="T662" t="s">
        <v>314</v>
      </c>
      <c r="U662">
        <v>0.15280426999999999</v>
      </c>
      <c r="V662" t="s">
        <v>364</v>
      </c>
      <c r="W662">
        <v>6.6981429999999995E-2</v>
      </c>
    </row>
    <row r="663" spans="1:23" x14ac:dyDescent="0.25">
      <c r="A663" s="3" t="str">
        <f>HYPERLINK("http://ids.si.edu/ids/deliveryService?id=NMAH-AHB2009q18300-000001","NMAH-AHB2009q18300-000001")</f>
        <v>NMAH-AHB2009q18300-000001</v>
      </c>
      <c r="B663" s="3" t="s">
        <v>1867</v>
      </c>
      <c r="C663" s="3">
        <v>1390426</v>
      </c>
      <c r="D663" s="3" t="s">
        <v>1716</v>
      </c>
      <c r="E663" s="4" t="s">
        <v>1747</v>
      </c>
      <c r="F663" t="s">
        <v>439</v>
      </c>
      <c r="G663">
        <v>0.79161351919174194</v>
      </c>
      <c r="H663" t="s">
        <v>441</v>
      </c>
      <c r="I663">
        <v>0.7457471489906311</v>
      </c>
      <c r="J663" t="s">
        <v>615</v>
      </c>
      <c r="K663" s="4">
        <v>0.66129732131958008</v>
      </c>
      <c r="L663" t="s">
        <v>1426</v>
      </c>
      <c r="M663">
        <v>0.35451680000000002</v>
      </c>
      <c r="N663" t="s">
        <v>529</v>
      </c>
      <c r="O663">
        <v>0.31511718</v>
      </c>
      <c r="P663" t="s">
        <v>516</v>
      </c>
      <c r="Q663" s="4">
        <v>7.1351860000000003E-2</v>
      </c>
      <c r="R663" t="s">
        <v>529</v>
      </c>
      <c r="S663">
        <v>0.7816453000000001</v>
      </c>
      <c r="T663" t="s">
        <v>1426</v>
      </c>
      <c r="U663">
        <v>0.13722718</v>
      </c>
      <c r="V663" t="s">
        <v>516</v>
      </c>
      <c r="W663">
        <v>4.6773693999999998E-2</v>
      </c>
    </row>
    <row r="664" spans="1:23" x14ac:dyDescent="0.25">
      <c r="A664" s="3" t="str">
        <f>HYPERLINK("http://ids.si.edu/ids/deliveryService?id=NMAH-AHB2013q044789","NMAH-AHB2013q044789")</f>
        <v>NMAH-AHB2013q044789</v>
      </c>
      <c r="B664" s="3" t="s">
        <v>1868</v>
      </c>
      <c r="C664" s="3">
        <v>1437938</v>
      </c>
      <c r="D664" s="3" t="s">
        <v>1716</v>
      </c>
      <c r="E664" s="4" t="s">
        <v>1761</v>
      </c>
      <c r="F664" t="s">
        <v>50</v>
      </c>
      <c r="G664">
        <v>0.7537727952003479</v>
      </c>
      <c r="H664" t="s">
        <v>90</v>
      </c>
      <c r="I664">
        <v>0.61177396774291992</v>
      </c>
      <c r="J664" t="s">
        <v>49</v>
      </c>
      <c r="K664" s="4">
        <v>0.56531375646591187</v>
      </c>
      <c r="L664" t="s">
        <v>336</v>
      </c>
      <c r="M664">
        <v>0.5192367</v>
      </c>
      <c r="N664" t="s">
        <v>570</v>
      </c>
      <c r="O664">
        <v>6.5354179999999998E-2</v>
      </c>
      <c r="P664" t="s">
        <v>571</v>
      </c>
      <c r="Q664" s="4">
        <v>4.5437383999999997E-2</v>
      </c>
      <c r="R664" t="s">
        <v>261</v>
      </c>
      <c r="S664">
        <v>0.22560863</v>
      </c>
      <c r="T664" t="s">
        <v>1416</v>
      </c>
      <c r="U664">
        <v>7.6086039999999994E-2</v>
      </c>
      <c r="V664" t="s">
        <v>1184</v>
      </c>
      <c r="W664">
        <v>6.8734795000000001E-2</v>
      </c>
    </row>
    <row r="665" spans="1:23" x14ac:dyDescent="0.25">
      <c r="A665" s="3" t="str">
        <f>HYPERLINK("http://ids.si.edu/ids/deliveryService?id=NMAH-AHB2013q044509","NMAH-AHB2013q044509")</f>
        <v>NMAH-AHB2013q044509</v>
      </c>
      <c r="B665" s="3" t="s">
        <v>1869</v>
      </c>
      <c r="C665" s="3">
        <v>1438101</v>
      </c>
      <c r="D665" s="3" t="s">
        <v>1716</v>
      </c>
      <c r="E665" s="4" t="s">
        <v>1727</v>
      </c>
      <c r="F665" t="s">
        <v>188</v>
      </c>
      <c r="G665">
        <v>0.73943209648132324</v>
      </c>
      <c r="H665" t="s">
        <v>112</v>
      </c>
      <c r="I665">
        <v>0.68572378158569336</v>
      </c>
      <c r="J665" t="s">
        <v>196</v>
      </c>
      <c r="K665" s="4">
        <v>0.66888242959976196</v>
      </c>
      <c r="L665" t="s">
        <v>156</v>
      </c>
      <c r="M665">
        <v>0.162217</v>
      </c>
      <c r="N665" t="s">
        <v>79</v>
      </c>
      <c r="O665">
        <v>0.12517563000000001</v>
      </c>
      <c r="P665" t="s">
        <v>888</v>
      </c>
      <c r="Q665" s="4">
        <v>5.8171529999999999E-2</v>
      </c>
      <c r="R665" t="s">
        <v>66</v>
      </c>
      <c r="S665">
        <v>0.14469692000000001</v>
      </c>
      <c r="T665" t="s">
        <v>159</v>
      </c>
      <c r="U665">
        <v>8.9150800000000002E-2</v>
      </c>
      <c r="V665" t="s">
        <v>813</v>
      </c>
      <c r="W665">
        <v>6.7333130000000005E-2</v>
      </c>
    </row>
    <row r="666" spans="1:23" x14ac:dyDescent="0.25">
      <c r="A666" s="3" t="str">
        <f>HYPERLINK("http://ids.si.edu/ids/deliveryService?id=NMAH-AHB2013q043809","NMAH-AHB2013q043809")</f>
        <v>NMAH-AHB2013q043809</v>
      </c>
      <c r="B666" s="3" t="s">
        <v>1870</v>
      </c>
      <c r="C666" s="3">
        <v>1437521</v>
      </c>
      <c r="D666" s="3" t="s">
        <v>1716</v>
      </c>
      <c r="E666" s="4" t="s">
        <v>1727</v>
      </c>
      <c r="F666" t="s">
        <v>301</v>
      </c>
      <c r="G666">
        <v>0.8093598484992981</v>
      </c>
      <c r="H666" t="s">
        <v>112</v>
      </c>
      <c r="I666">
        <v>0.78258353471755981</v>
      </c>
      <c r="J666" t="s">
        <v>196</v>
      </c>
      <c r="K666" s="4">
        <v>0.70026475191116333</v>
      </c>
      <c r="L666" t="s">
        <v>239</v>
      </c>
      <c r="M666">
        <v>0.15361865999999999</v>
      </c>
      <c r="N666" t="s">
        <v>1871</v>
      </c>
      <c r="O666">
        <v>0.14480872</v>
      </c>
      <c r="P666" t="s">
        <v>336</v>
      </c>
      <c r="Q666" s="4">
        <v>4.6788155999999997E-2</v>
      </c>
      <c r="R666" t="s">
        <v>175</v>
      </c>
      <c r="S666">
        <v>7.2790325000000003E-2</v>
      </c>
      <c r="T666" t="s">
        <v>66</v>
      </c>
      <c r="U666">
        <v>6.865541E-2</v>
      </c>
      <c r="V666" t="s">
        <v>71</v>
      </c>
      <c r="W666">
        <v>5.9806693000000001E-2</v>
      </c>
    </row>
    <row r="667" spans="1:23" x14ac:dyDescent="0.25">
      <c r="A667" s="3" t="str">
        <f>HYPERLINK("http://ids.si.edu/ids/deliveryService?id=NMAH-AHB2013q044120","NMAH-AHB2013q044120")</f>
        <v>NMAH-AHB2013q044120</v>
      </c>
      <c r="B667" s="3" t="s">
        <v>1872</v>
      </c>
      <c r="C667" s="3">
        <v>1437567</v>
      </c>
      <c r="D667" s="3" t="s">
        <v>1716</v>
      </c>
      <c r="E667" s="4" t="s">
        <v>1763</v>
      </c>
      <c r="F667" t="s">
        <v>49</v>
      </c>
      <c r="G667">
        <v>0.73051947355270386</v>
      </c>
      <c r="H667" t="s">
        <v>112</v>
      </c>
      <c r="I667">
        <v>0.68572378158569336</v>
      </c>
      <c r="J667" t="s">
        <v>50</v>
      </c>
      <c r="K667" s="4">
        <v>0.6591346263885498</v>
      </c>
      <c r="L667" t="s">
        <v>336</v>
      </c>
      <c r="M667">
        <v>0.84680116000000005</v>
      </c>
      <c r="N667" t="s">
        <v>174</v>
      </c>
      <c r="O667">
        <v>2.8444238E-2</v>
      </c>
      <c r="P667" t="s">
        <v>544</v>
      </c>
      <c r="Q667" s="4">
        <v>2.3414399999999998E-2</v>
      </c>
      <c r="R667" t="s">
        <v>174</v>
      </c>
      <c r="S667">
        <v>0.23693743</v>
      </c>
      <c r="T667" t="s">
        <v>545</v>
      </c>
      <c r="U667">
        <v>0.14584789000000001</v>
      </c>
      <c r="V667" t="s">
        <v>175</v>
      </c>
      <c r="W667">
        <v>0.10122339</v>
      </c>
    </row>
    <row r="668" spans="1:23" x14ac:dyDescent="0.25">
      <c r="A668" s="3" t="str">
        <f>HYPERLINK("http://ids.si.edu/ids/deliveryService?id=NMAH-RWS2014-03058","NMAH-RWS2014-03058")</f>
        <v>NMAH-RWS2014-03058</v>
      </c>
      <c r="B668" s="3" t="s">
        <v>1873</v>
      </c>
      <c r="C668" s="3">
        <v>1463594</v>
      </c>
      <c r="D668" s="3" t="s">
        <v>1716</v>
      </c>
      <c r="E668" s="4" t="s">
        <v>1874</v>
      </c>
      <c r="F668" t="s">
        <v>1325</v>
      </c>
      <c r="G668">
        <v>0.88415127992630005</v>
      </c>
      <c r="H668" t="s">
        <v>91</v>
      </c>
      <c r="I668">
        <v>0.88283330202102661</v>
      </c>
      <c r="J668" t="s">
        <v>1875</v>
      </c>
      <c r="K668" s="4">
        <v>0.72545099258422852</v>
      </c>
      <c r="L668" t="s">
        <v>312</v>
      </c>
      <c r="M668">
        <v>0.12593436</v>
      </c>
      <c r="N668" t="s">
        <v>878</v>
      </c>
      <c r="O668">
        <v>0.11067378999999999</v>
      </c>
      <c r="P668" t="s">
        <v>79</v>
      </c>
      <c r="Q668" s="4">
        <v>0.10423776</v>
      </c>
      <c r="R668" t="s">
        <v>878</v>
      </c>
      <c r="S668">
        <v>0.38284554999999998</v>
      </c>
      <c r="T668" t="s">
        <v>1876</v>
      </c>
      <c r="U668">
        <v>0.104814984</v>
      </c>
      <c r="V668" t="s">
        <v>1877</v>
      </c>
      <c r="W668">
        <v>8.6785269999999998E-2</v>
      </c>
    </row>
    <row r="669" spans="1:23" x14ac:dyDescent="0.25">
      <c r="A669" s="3" t="str">
        <f>HYPERLINK("http://ids.si.edu/ids/deliveryService?id=NMAH-AHB2013q043545","NMAH-AHB2013q043545")</f>
        <v>NMAH-AHB2013q043545</v>
      </c>
      <c r="B669" s="3" t="s">
        <v>1878</v>
      </c>
      <c r="C669" s="3">
        <v>1437491</v>
      </c>
      <c r="D669" s="3" t="s">
        <v>1716</v>
      </c>
      <c r="E669" s="4" t="s">
        <v>1727</v>
      </c>
      <c r="F669" t="s">
        <v>61</v>
      </c>
      <c r="G669">
        <v>0.95793831348419189</v>
      </c>
      <c r="H669" t="s">
        <v>112</v>
      </c>
      <c r="I669">
        <v>0.88542389869689941</v>
      </c>
      <c r="J669" t="s">
        <v>486</v>
      </c>
      <c r="K669" s="4">
        <v>0.8168523907661438</v>
      </c>
      <c r="L669" t="s">
        <v>66</v>
      </c>
      <c r="M669">
        <v>0.74322449999999995</v>
      </c>
      <c r="N669" t="s">
        <v>358</v>
      </c>
      <c r="O669">
        <v>2.1042870000000002E-2</v>
      </c>
      <c r="P669" t="s">
        <v>1099</v>
      </c>
      <c r="Q669" s="4">
        <v>1.9473605000000001E-2</v>
      </c>
      <c r="R669" t="s">
        <v>66</v>
      </c>
      <c r="S669">
        <v>0.67792319999999995</v>
      </c>
      <c r="T669" t="s">
        <v>79</v>
      </c>
      <c r="U669">
        <v>2.9432674999999998E-2</v>
      </c>
      <c r="V669" t="s">
        <v>134</v>
      </c>
      <c r="W669">
        <v>2.2782449E-2</v>
      </c>
    </row>
    <row r="670" spans="1:23" x14ac:dyDescent="0.25">
      <c r="A670" s="3" t="str">
        <f>HYPERLINK("http://ids.si.edu/ids/deliveryService?id=NMAH-AHB2013q044130","NMAH-AHB2013q044130")</f>
        <v>NMAH-AHB2013q044130</v>
      </c>
      <c r="B670" s="3" t="s">
        <v>1879</v>
      </c>
      <c r="C670" s="3">
        <v>1437572</v>
      </c>
      <c r="D670" s="3" t="s">
        <v>1716</v>
      </c>
      <c r="E670" s="4" t="s">
        <v>1798</v>
      </c>
      <c r="F670" t="s">
        <v>49</v>
      </c>
      <c r="G670">
        <v>0.89174914360046387</v>
      </c>
      <c r="H670" t="s">
        <v>112</v>
      </c>
      <c r="I670">
        <v>0.68572378158569336</v>
      </c>
      <c r="J670" t="s">
        <v>50</v>
      </c>
      <c r="K670" s="4">
        <v>0.60706108808517456</v>
      </c>
      <c r="L670" t="s">
        <v>149</v>
      </c>
      <c r="M670">
        <v>0.66598519999999994</v>
      </c>
      <c r="N670" t="s">
        <v>336</v>
      </c>
      <c r="O670">
        <v>0.12095583</v>
      </c>
      <c r="P670" t="s">
        <v>390</v>
      </c>
      <c r="Q670" s="4">
        <v>1.7235258999999999E-2</v>
      </c>
      <c r="R670" t="s">
        <v>149</v>
      </c>
      <c r="S670">
        <v>0.29038206</v>
      </c>
      <c r="T670" t="s">
        <v>369</v>
      </c>
      <c r="U670">
        <v>6.8880609999999995E-2</v>
      </c>
      <c r="V670" t="s">
        <v>390</v>
      </c>
      <c r="W670">
        <v>6.8407700000000002E-2</v>
      </c>
    </row>
    <row r="671" spans="1:23" x14ac:dyDescent="0.25">
      <c r="A671" s="3" t="str">
        <f>HYPERLINK("http://ids.si.edu/ids/deliveryService?id=NMAH-JN2014-4048","NMAH-JN2014-4048")</f>
        <v>NMAH-JN2014-4048</v>
      </c>
      <c r="B671" s="3" t="s">
        <v>1880</v>
      </c>
      <c r="C671" s="3">
        <v>751148</v>
      </c>
      <c r="D671" s="3" t="s">
        <v>1716</v>
      </c>
      <c r="E671" s="4" t="s">
        <v>1717</v>
      </c>
      <c r="F671" t="s">
        <v>747</v>
      </c>
      <c r="G671">
        <v>0.96131962537765503</v>
      </c>
      <c r="H671" t="s">
        <v>736</v>
      </c>
      <c r="I671">
        <v>0.95944476127624512</v>
      </c>
      <c r="J671" t="s">
        <v>1090</v>
      </c>
      <c r="K671" s="4">
        <v>0.93565863370895386</v>
      </c>
      <c r="L671" t="s">
        <v>258</v>
      </c>
      <c r="M671">
        <v>0.59644379999999997</v>
      </c>
      <c r="N671" t="s">
        <v>314</v>
      </c>
      <c r="O671">
        <v>0.24917834</v>
      </c>
      <c r="P671" t="s">
        <v>764</v>
      </c>
      <c r="Q671" s="4">
        <v>2.6472875999999999E-2</v>
      </c>
      <c r="R671" t="s">
        <v>258</v>
      </c>
      <c r="S671">
        <v>0.46976140000000011</v>
      </c>
      <c r="T671" t="s">
        <v>843</v>
      </c>
      <c r="U671">
        <v>0.19658463000000001</v>
      </c>
      <c r="V671" t="s">
        <v>314</v>
      </c>
      <c r="W671">
        <v>0.13405792</v>
      </c>
    </row>
    <row r="672" spans="1:23" x14ac:dyDescent="0.25">
      <c r="A672" s="3" t="str">
        <f>HYPERLINK("http://ids.si.edu/ids/deliveryService?id=NMAH-AHB2013q045598","NMAH-AHB2013q045598")</f>
        <v>NMAH-AHB2013q045598</v>
      </c>
      <c r="B672" s="3" t="s">
        <v>1881</v>
      </c>
      <c r="C672" s="3">
        <v>1438354</v>
      </c>
      <c r="D672" s="3" t="s">
        <v>1716</v>
      </c>
      <c r="E672" s="4" t="s">
        <v>1731</v>
      </c>
      <c r="F672" t="s">
        <v>1774</v>
      </c>
      <c r="G672">
        <v>0.81250733137130737</v>
      </c>
      <c r="H672" t="s">
        <v>1882</v>
      </c>
      <c r="I672">
        <v>0.77629733085632324</v>
      </c>
      <c r="J672" t="s">
        <v>727</v>
      </c>
      <c r="K672" s="4">
        <v>0.65663927793502808</v>
      </c>
      <c r="L672" t="s">
        <v>444</v>
      </c>
      <c r="M672">
        <v>0.49959543000000001</v>
      </c>
      <c r="N672" t="s">
        <v>1812</v>
      </c>
      <c r="O672">
        <v>5.3748869999999997E-2</v>
      </c>
      <c r="P672" t="s">
        <v>445</v>
      </c>
      <c r="Q672" s="4">
        <v>4.8920146999999997E-2</v>
      </c>
      <c r="R672" t="s">
        <v>149</v>
      </c>
      <c r="S672">
        <v>0.16707232999999999</v>
      </c>
      <c r="T672" t="s">
        <v>312</v>
      </c>
      <c r="U672">
        <v>5.2013892999999999E-2</v>
      </c>
      <c r="V672" t="s">
        <v>95</v>
      </c>
      <c r="W672">
        <v>4.9841537999999998E-2</v>
      </c>
    </row>
    <row r="673" spans="1:23" x14ac:dyDescent="0.25">
      <c r="A673" s="3" t="str">
        <f>HYPERLINK("http://ids.si.edu/ids/deliveryService?id=NMAH-AHB2013q043747","NMAH-AHB2013q043747")</f>
        <v>NMAH-AHB2013q043747</v>
      </c>
      <c r="B673" s="3" t="s">
        <v>1883</v>
      </c>
      <c r="C673" s="3">
        <v>1437221</v>
      </c>
      <c r="D673" s="3" t="s">
        <v>1716</v>
      </c>
      <c r="E673" s="4" t="s">
        <v>336</v>
      </c>
      <c r="F673" t="s">
        <v>91</v>
      </c>
      <c r="G673">
        <v>0.88283330202102661</v>
      </c>
      <c r="H673" t="s">
        <v>1757</v>
      </c>
      <c r="I673">
        <v>0.60836881399154663</v>
      </c>
      <c r="J673" t="s">
        <v>50</v>
      </c>
      <c r="K673" s="4">
        <v>0.5114516019821167</v>
      </c>
      <c r="L673" t="s">
        <v>336</v>
      </c>
      <c r="M673">
        <v>0.92794913000000001</v>
      </c>
      <c r="N673" t="s">
        <v>149</v>
      </c>
      <c r="O673">
        <v>3.5280295000000003E-2</v>
      </c>
      <c r="P673" t="s">
        <v>390</v>
      </c>
      <c r="Q673" s="4">
        <v>7.2242077000000014E-3</v>
      </c>
      <c r="R673" t="s">
        <v>336</v>
      </c>
      <c r="S673">
        <v>0.54688040000000004</v>
      </c>
      <c r="T673" t="s">
        <v>93</v>
      </c>
      <c r="U673">
        <v>8.4832765000000004E-2</v>
      </c>
      <c r="V673" t="s">
        <v>390</v>
      </c>
      <c r="W673">
        <v>5.3275660000000002E-2</v>
      </c>
    </row>
    <row r="674" spans="1:23" x14ac:dyDescent="0.25">
      <c r="A674" s="3" t="str">
        <f>HYPERLINK("http://ids.si.edu/ids/deliveryService?id=NMAH-AHB2013q044640","NMAH-AHB2013q044640")</f>
        <v>NMAH-AHB2013q044640</v>
      </c>
      <c r="B674" s="3" t="s">
        <v>1884</v>
      </c>
      <c r="C674" s="3">
        <v>1438309</v>
      </c>
      <c r="D674" s="3" t="s">
        <v>1716</v>
      </c>
      <c r="E674" s="4" t="s">
        <v>1731</v>
      </c>
      <c r="F674" t="s">
        <v>38</v>
      </c>
      <c r="G674">
        <v>0.86759376525878906</v>
      </c>
      <c r="H674" t="s">
        <v>236</v>
      </c>
      <c r="I674">
        <v>0.54227489233016968</v>
      </c>
      <c r="J674" t="s">
        <v>50</v>
      </c>
      <c r="K674" s="4">
        <v>0.5114516019821167</v>
      </c>
      <c r="L674" t="s">
        <v>149</v>
      </c>
      <c r="M674">
        <v>0.13846226</v>
      </c>
      <c r="N674" t="s">
        <v>389</v>
      </c>
      <c r="O674">
        <v>0.12545029999999999</v>
      </c>
      <c r="P674" t="s">
        <v>151</v>
      </c>
      <c r="Q674" s="4">
        <v>0.10540105</v>
      </c>
      <c r="R674" t="s">
        <v>151</v>
      </c>
      <c r="S674">
        <v>0.41531620000000002</v>
      </c>
      <c r="T674" t="s">
        <v>389</v>
      </c>
      <c r="U674">
        <v>7.6000999999999999E-2</v>
      </c>
      <c r="V674" t="s">
        <v>253</v>
      </c>
      <c r="W674">
        <v>6.0554746999999999E-2</v>
      </c>
    </row>
    <row r="675" spans="1:23" x14ac:dyDescent="0.25">
      <c r="A675" s="3" t="str">
        <f>HYPERLINK("http://ids.si.edu/ids/deliveryService?id=NMAH-AHB2013q044562","NMAH-AHB2013q044562")</f>
        <v>NMAH-AHB2013q044562</v>
      </c>
      <c r="B675" s="3" t="s">
        <v>1885</v>
      </c>
      <c r="C675" s="3">
        <v>1438207</v>
      </c>
      <c r="D675" s="3" t="s">
        <v>1716</v>
      </c>
      <c r="E675" s="4" t="s">
        <v>1886</v>
      </c>
      <c r="F675" t="s">
        <v>1887</v>
      </c>
      <c r="G675">
        <v>0.88469779491424561</v>
      </c>
      <c r="H675" t="s">
        <v>1888</v>
      </c>
      <c r="I675">
        <v>0.85441547632217407</v>
      </c>
      <c r="J675" t="s">
        <v>1456</v>
      </c>
      <c r="K675" s="4">
        <v>0.83423763513565063</v>
      </c>
      <c r="L675" t="s">
        <v>1093</v>
      </c>
      <c r="M675">
        <v>0.29929325000000001</v>
      </c>
      <c r="N675" t="s">
        <v>888</v>
      </c>
      <c r="O675">
        <v>0.18893081</v>
      </c>
      <c r="P675" t="s">
        <v>336</v>
      </c>
      <c r="Q675" s="4">
        <v>0.14080964000000001</v>
      </c>
      <c r="R675" t="s">
        <v>159</v>
      </c>
      <c r="S675">
        <v>0.31013674000000002</v>
      </c>
      <c r="T675" t="s">
        <v>1889</v>
      </c>
      <c r="U675">
        <v>0.15489786999999999</v>
      </c>
      <c r="V675" t="s">
        <v>888</v>
      </c>
      <c r="W675">
        <v>0.10200106</v>
      </c>
    </row>
    <row r="676" spans="1:23" x14ac:dyDescent="0.25">
      <c r="A676" s="3" t="str">
        <f>HYPERLINK("http://ids.si.edu/ids/deliveryService?id=NMAH-RWS2011-01641","NMAH-RWS2011-01641")</f>
        <v>NMAH-RWS2011-01641</v>
      </c>
      <c r="B676" s="3" t="s">
        <v>1890</v>
      </c>
      <c r="C676" s="3">
        <v>847365</v>
      </c>
      <c r="D676" s="3" t="s">
        <v>1716</v>
      </c>
      <c r="E676" s="4" t="s">
        <v>1741</v>
      </c>
      <c r="F676" t="s">
        <v>470</v>
      </c>
      <c r="G676">
        <v>0.76556926965713501</v>
      </c>
      <c r="H676" t="s">
        <v>1891</v>
      </c>
      <c r="I676">
        <v>0.73621821403503418</v>
      </c>
      <c r="J676" t="s">
        <v>1892</v>
      </c>
      <c r="K676" s="4">
        <v>0.59429687261581421</v>
      </c>
      <c r="L676" t="s">
        <v>673</v>
      </c>
      <c r="M676">
        <v>0.69471335000000001</v>
      </c>
      <c r="N676" t="s">
        <v>571</v>
      </c>
      <c r="O676">
        <v>0.16418509000000001</v>
      </c>
      <c r="P676" t="s">
        <v>597</v>
      </c>
      <c r="Q676" s="4">
        <v>2.8078097999999999E-2</v>
      </c>
      <c r="R676" t="s">
        <v>673</v>
      </c>
      <c r="S676">
        <v>0.34687321999999998</v>
      </c>
      <c r="T676" t="s">
        <v>571</v>
      </c>
      <c r="U676">
        <v>9.526913599999999E-2</v>
      </c>
      <c r="V676" t="s">
        <v>148</v>
      </c>
      <c r="W676">
        <v>6.1503044999999999E-2</v>
      </c>
    </row>
    <row r="677" spans="1:23" x14ac:dyDescent="0.25">
      <c r="A677" s="3" t="str">
        <f>HYPERLINK("http://ids.si.edu/ids/deliveryService?id=NMAH-AHB2013q044598","NMAH-AHB2013q044598")</f>
        <v>NMAH-AHB2013q044598</v>
      </c>
      <c r="B677" s="3" t="s">
        <v>1893</v>
      </c>
      <c r="C677" s="3">
        <v>1438258</v>
      </c>
      <c r="D677" s="3" t="s">
        <v>1716</v>
      </c>
      <c r="E677" s="4" t="s">
        <v>1763</v>
      </c>
      <c r="F677" t="s">
        <v>61</v>
      </c>
      <c r="G677">
        <v>0.92437785863876343</v>
      </c>
      <c r="H677" t="s">
        <v>91</v>
      </c>
      <c r="I677">
        <v>0.88283330202102661</v>
      </c>
      <c r="J677" t="s">
        <v>112</v>
      </c>
      <c r="K677" s="4">
        <v>0.80401664972305298</v>
      </c>
      <c r="L677" t="s">
        <v>149</v>
      </c>
      <c r="M677">
        <v>0.12866983000000001</v>
      </c>
      <c r="N677" t="s">
        <v>1052</v>
      </c>
      <c r="O677">
        <v>8.7826779999999993E-2</v>
      </c>
      <c r="P677" t="s">
        <v>170</v>
      </c>
      <c r="Q677" s="4">
        <v>7.9797770000000004E-2</v>
      </c>
      <c r="R677" t="s">
        <v>706</v>
      </c>
      <c r="S677">
        <v>0.16922234999999999</v>
      </c>
      <c r="T677" t="s">
        <v>149</v>
      </c>
      <c r="U677">
        <v>0.16233838</v>
      </c>
      <c r="V677" t="s">
        <v>175</v>
      </c>
      <c r="W677">
        <v>0.10305549</v>
      </c>
    </row>
    <row r="678" spans="1:23" x14ac:dyDescent="0.25">
      <c r="A678" s="3" t="str">
        <f>HYPERLINK("http://ids.si.edu/ids/deliveryService?id=NMAH-ET2015-02198","NMAH-ET2015-02198")</f>
        <v>NMAH-ET2015-02198</v>
      </c>
      <c r="B678" s="3" t="s">
        <v>1894</v>
      </c>
      <c r="C678" s="3">
        <v>1138136</v>
      </c>
      <c r="D678" s="3" t="s">
        <v>1716</v>
      </c>
      <c r="E678" s="4" t="s">
        <v>1895</v>
      </c>
      <c r="F678" t="s">
        <v>311</v>
      </c>
      <c r="G678">
        <v>0.71754354238510132</v>
      </c>
      <c r="H678" t="s">
        <v>281</v>
      </c>
      <c r="I678">
        <v>0.57880568504333496</v>
      </c>
      <c r="J678" t="s">
        <v>188</v>
      </c>
      <c r="K678" s="4">
        <v>0.57736802101135254</v>
      </c>
      <c r="L678" t="s">
        <v>95</v>
      </c>
      <c r="M678">
        <v>8.7294339999999998E-2</v>
      </c>
      <c r="N678" t="s">
        <v>175</v>
      </c>
      <c r="O678">
        <v>7.5758569999999997E-2</v>
      </c>
      <c r="P678" t="s">
        <v>706</v>
      </c>
      <c r="Q678" s="4">
        <v>6.8404179999999995E-2</v>
      </c>
      <c r="R678" t="s">
        <v>95</v>
      </c>
      <c r="S678">
        <v>0.39979902</v>
      </c>
      <c r="T678" t="s">
        <v>336</v>
      </c>
      <c r="U678">
        <v>7.884207E-2</v>
      </c>
      <c r="V678" t="s">
        <v>312</v>
      </c>
      <c r="W678">
        <v>6.86335E-2</v>
      </c>
    </row>
    <row r="679" spans="1:23" x14ac:dyDescent="0.25">
      <c r="A679" s="3" t="str">
        <f>HYPERLINK("http://ids.si.edu/ids/deliveryService?id=NMAH-AHB2013q045005","NMAH-AHB2013q045005")</f>
        <v>NMAH-AHB2013q045005</v>
      </c>
      <c r="B679" s="3" t="s">
        <v>1896</v>
      </c>
      <c r="C679" s="3">
        <v>1438428</v>
      </c>
      <c r="D679" s="3" t="s">
        <v>1716</v>
      </c>
      <c r="E679" s="4" t="s">
        <v>1761</v>
      </c>
      <c r="F679" t="s">
        <v>50</v>
      </c>
      <c r="G679">
        <v>0.86657452583312988</v>
      </c>
      <c r="H679" t="s">
        <v>188</v>
      </c>
      <c r="I679">
        <v>0.7746698260307312</v>
      </c>
      <c r="J679" t="s">
        <v>49</v>
      </c>
      <c r="K679" s="4">
        <v>0.71947580575942993</v>
      </c>
      <c r="L679" t="s">
        <v>336</v>
      </c>
      <c r="M679">
        <v>0.60868805999999998</v>
      </c>
      <c r="N679" t="s">
        <v>202</v>
      </c>
      <c r="O679">
        <v>0.11250172999999999</v>
      </c>
      <c r="P679" t="s">
        <v>87</v>
      </c>
      <c r="Q679" s="4">
        <v>4.1071496999999998E-2</v>
      </c>
      <c r="R679" t="s">
        <v>175</v>
      </c>
      <c r="S679">
        <v>0.2275865</v>
      </c>
      <c r="T679" t="s">
        <v>71</v>
      </c>
      <c r="U679">
        <v>8.61291E-2</v>
      </c>
      <c r="V679" t="s">
        <v>83</v>
      </c>
      <c r="W679">
        <v>5.2852400000000001E-2</v>
      </c>
    </row>
    <row r="680" spans="1:23" x14ac:dyDescent="0.25">
      <c r="A680" s="3" t="str">
        <f>HYPERLINK("http://ids.si.edu/ids/deliveryService?id=NMAH-JN2014-4197","NMAH-JN2014-4197")</f>
        <v>NMAH-JN2014-4197</v>
      </c>
      <c r="B680" s="3" t="s">
        <v>1897</v>
      </c>
      <c r="C680" s="3">
        <v>1692492</v>
      </c>
      <c r="D680" s="3" t="s">
        <v>1716</v>
      </c>
      <c r="E680" s="4" t="s">
        <v>1604</v>
      </c>
      <c r="F680" t="s">
        <v>1266</v>
      </c>
      <c r="G680">
        <v>0.92679089307785034</v>
      </c>
      <c r="H680" t="s">
        <v>1267</v>
      </c>
      <c r="I680">
        <v>0.92586213350296021</v>
      </c>
      <c r="J680" t="s">
        <v>132</v>
      </c>
      <c r="K680" s="4">
        <v>0.92181515693664551</v>
      </c>
      <c r="L680" t="s">
        <v>1454</v>
      </c>
      <c r="M680">
        <v>0.75022600000000006</v>
      </c>
      <c r="N680" t="s">
        <v>338</v>
      </c>
      <c r="O680">
        <v>0.10475452</v>
      </c>
      <c r="P680" t="s">
        <v>149</v>
      </c>
      <c r="Q680" s="4">
        <v>4.3430164E-2</v>
      </c>
      <c r="R680" t="s">
        <v>1454</v>
      </c>
      <c r="S680">
        <v>0.62184846000000005</v>
      </c>
      <c r="T680" t="s">
        <v>338</v>
      </c>
      <c r="U680">
        <v>0.28946480000000002</v>
      </c>
      <c r="V680" t="s">
        <v>149</v>
      </c>
      <c r="W680">
        <v>2.2662972999999999E-2</v>
      </c>
    </row>
    <row r="681" spans="1:23" x14ac:dyDescent="0.25">
      <c r="A681" s="3" t="str">
        <f>HYPERLINK("http://ids.si.edu/ids/deliveryService?id=NMAH-JN2014-3275","NMAH-JN2014-3275")</f>
        <v>NMAH-JN2014-3275</v>
      </c>
      <c r="B681" s="3" t="s">
        <v>1898</v>
      </c>
      <c r="C681" s="3">
        <v>1213582</v>
      </c>
      <c r="D681" s="3" t="s">
        <v>1716</v>
      </c>
      <c r="E681" s="4" t="s">
        <v>1899</v>
      </c>
      <c r="F681" t="s">
        <v>188</v>
      </c>
      <c r="G681">
        <v>0.77594387531280518</v>
      </c>
      <c r="H681" t="s">
        <v>1459</v>
      </c>
      <c r="I681">
        <v>0.66472762823104858</v>
      </c>
      <c r="J681" t="s">
        <v>38</v>
      </c>
      <c r="K681" s="4">
        <v>0.55728942155838013</v>
      </c>
      <c r="L681" t="s">
        <v>599</v>
      </c>
      <c r="M681">
        <v>6.0840341999999999E-2</v>
      </c>
      <c r="N681" t="s">
        <v>150</v>
      </c>
      <c r="O681">
        <v>5.1904835000000003E-2</v>
      </c>
      <c r="P681" t="s">
        <v>516</v>
      </c>
      <c r="Q681" s="4">
        <v>4.994589E-2</v>
      </c>
      <c r="R681" t="s">
        <v>149</v>
      </c>
      <c r="S681">
        <v>8.4980026E-2</v>
      </c>
      <c r="T681" t="s">
        <v>1338</v>
      </c>
      <c r="U681">
        <v>4.8647719999999998E-2</v>
      </c>
      <c r="V681" t="s">
        <v>444</v>
      </c>
      <c r="W681">
        <v>4.7628596000000002E-2</v>
      </c>
    </row>
    <row r="682" spans="1:23" x14ac:dyDescent="0.25">
      <c r="A682" s="3" t="str">
        <f>HYPERLINK("http://ids.si.edu/ids/deliveryService?id=NMAH-ET2013-39918","NMAH-ET2013-39918")</f>
        <v>NMAH-ET2013-39918</v>
      </c>
      <c r="B682" s="3" t="s">
        <v>1900</v>
      </c>
      <c r="C682" s="3">
        <v>879462</v>
      </c>
      <c r="D682" s="3" t="s">
        <v>1716</v>
      </c>
      <c r="E682" s="4" t="s">
        <v>1901</v>
      </c>
      <c r="F682" t="s">
        <v>1891</v>
      </c>
      <c r="G682">
        <v>0.91533917188644409</v>
      </c>
      <c r="H682" t="s">
        <v>147</v>
      </c>
      <c r="I682">
        <v>0.84926295280456543</v>
      </c>
      <c r="J682" t="s">
        <v>470</v>
      </c>
      <c r="K682" s="4">
        <v>0.74903702735900879</v>
      </c>
      <c r="L682" t="s">
        <v>673</v>
      </c>
      <c r="M682">
        <v>0.98279989999999995</v>
      </c>
      <c r="N682" t="s">
        <v>536</v>
      </c>
      <c r="O682">
        <v>4.761642E-3</v>
      </c>
      <c r="P682" t="s">
        <v>597</v>
      </c>
      <c r="Q682" s="4">
        <v>2.3930119999999999E-3</v>
      </c>
      <c r="R682" t="s">
        <v>673</v>
      </c>
      <c r="S682">
        <v>0.49052380000000001</v>
      </c>
      <c r="T682" t="s">
        <v>330</v>
      </c>
      <c r="U682">
        <v>0.12635593000000001</v>
      </c>
      <c r="V682" t="s">
        <v>685</v>
      </c>
      <c r="W682">
        <v>4.5237609999999998E-2</v>
      </c>
    </row>
    <row r="683" spans="1:23" x14ac:dyDescent="0.25">
      <c r="A683" s="3" t="str">
        <f>HYPERLINK("http://ids.si.edu/ids/deliveryService?id=NMAH-NMAH2002-27389","NMAH-NMAH2002-27389")</f>
        <v>NMAH-NMAH2002-27389</v>
      </c>
      <c r="B683" s="3" t="s">
        <v>1902</v>
      </c>
      <c r="C683" s="3">
        <v>706640</v>
      </c>
      <c r="D683" s="3" t="s">
        <v>1716</v>
      </c>
      <c r="E683" s="4" t="s">
        <v>1801</v>
      </c>
      <c r="F683" t="s">
        <v>62</v>
      </c>
      <c r="G683">
        <v>0.62534767389297485</v>
      </c>
      <c r="H683" t="s">
        <v>50</v>
      </c>
      <c r="I683">
        <v>0.5114516019821167</v>
      </c>
      <c r="L683" t="s">
        <v>1903</v>
      </c>
      <c r="M683">
        <v>0.85305876000000003</v>
      </c>
      <c r="N683" t="s">
        <v>668</v>
      </c>
      <c r="O683">
        <v>4.894826E-2</v>
      </c>
      <c r="P683" t="s">
        <v>784</v>
      </c>
      <c r="Q683" s="4">
        <v>1.6222549999999999E-2</v>
      </c>
      <c r="R683" t="s">
        <v>668</v>
      </c>
      <c r="S683">
        <v>0.28934335999999999</v>
      </c>
      <c r="T683" t="s">
        <v>390</v>
      </c>
      <c r="U683">
        <v>0.24611769999999999</v>
      </c>
      <c r="V683" t="s">
        <v>32</v>
      </c>
      <c r="W683">
        <v>0.14378019</v>
      </c>
    </row>
    <row r="684" spans="1:23" x14ac:dyDescent="0.25">
      <c r="A684" s="3" t="str">
        <f>HYPERLINK("http://ids.si.edu/ids/deliveryService?id=NMAH-AHB2013q044463","NMAH-AHB2013q044463")</f>
        <v>NMAH-AHB2013q044463</v>
      </c>
      <c r="B684" s="3" t="s">
        <v>1904</v>
      </c>
      <c r="C684" s="3">
        <v>1437836</v>
      </c>
      <c r="D684" s="3" t="s">
        <v>1716</v>
      </c>
      <c r="E684" s="4" t="s">
        <v>1727</v>
      </c>
      <c r="F684" t="s">
        <v>196</v>
      </c>
      <c r="G684">
        <v>0.81710988283157349</v>
      </c>
      <c r="H684" t="s">
        <v>301</v>
      </c>
      <c r="I684">
        <v>0.76103365421295166</v>
      </c>
      <c r="J684" t="s">
        <v>112</v>
      </c>
      <c r="K684" s="4">
        <v>0.68572378158569336</v>
      </c>
      <c r="L684" t="s">
        <v>571</v>
      </c>
      <c r="M684">
        <v>0.21597229000000001</v>
      </c>
      <c r="N684" t="s">
        <v>79</v>
      </c>
      <c r="O684">
        <v>0.14396285</v>
      </c>
      <c r="P684" t="s">
        <v>66</v>
      </c>
      <c r="Q684" s="4">
        <v>0.12782579999999999</v>
      </c>
      <c r="R684" t="s">
        <v>66</v>
      </c>
      <c r="S684">
        <v>0.17655464000000001</v>
      </c>
      <c r="T684" t="s">
        <v>65</v>
      </c>
      <c r="U684">
        <v>3.9655733999999998E-2</v>
      </c>
      <c r="V684" t="s">
        <v>31</v>
      </c>
      <c r="W684">
        <v>3.8602337E-2</v>
      </c>
    </row>
    <row r="685" spans="1:23" x14ac:dyDescent="0.25">
      <c r="A685" s="3" t="str">
        <f>HYPERLINK("http://ids.si.edu/ids/deliveryService?id=NMAH-RWS2011-01650","NMAH-RWS2011-01650")</f>
        <v>NMAH-RWS2011-01650</v>
      </c>
      <c r="B685" s="3" t="s">
        <v>1905</v>
      </c>
      <c r="C685" s="3">
        <v>847297</v>
      </c>
      <c r="D685" s="3" t="s">
        <v>1716</v>
      </c>
      <c r="E685" s="4" t="s">
        <v>1741</v>
      </c>
      <c r="F685" t="s">
        <v>1191</v>
      </c>
      <c r="G685">
        <v>0.93044304847717285</v>
      </c>
      <c r="H685" t="s">
        <v>132</v>
      </c>
      <c r="I685">
        <v>0.83633017539978027</v>
      </c>
      <c r="J685" t="s">
        <v>112</v>
      </c>
      <c r="K685" s="4">
        <v>0.74956268072128296</v>
      </c>
      <c r="L685" t="s">
        <v>184</v>
      </c>
      <c r="M685">
        <v>0.12749515</v>
      </c>
      <c r="N685" t="s">
        <v>620</v>
      </c>
      <c r="O685">
        <v>5.6162186000000003E-2</v>
      </c>
      <c r="P685" t="s">
        <v>1338</v>
      </c>
      <c r="Q685" s="4">
        <v>5.2837255999999999E-2</v>
      </c>
      <c r="R685" t="s">
        <v>148</v>
      </c>
      <c r="S685">
        <v>0.15815704</v>
      </c>
      <c r="T685" t="s">
        <v>490</v>
      </c>
      <c r="U685">
        <v>7.2725109999999996E-2</v>
      </c>
      <c r="V685" t="s">
        <v>149</v>
      </c>
      <c r="W685">
        <v>6.1408940000000002E-2</v>
      </c>
    </row>
    <row r="686" spans="1:23" x14ac:dyDescent="0.25">
      <c r="A686" s="3" t="str">
        <f>HYPERLINK("http://ids.si.edu/ids/deliveryService?id=NMAH-JN2015-5151","NMAH-JN2015-5151")</f>
        <v>NMAH-JN2015-5151</v>
      </c>
      <c r="B686" s="3" t="s">
        <v>1906</v>
      </c>
      <c r="C686" s="3">
        <v>1591333</v>
      </c>
      <c r="D686" s="3" t="s">
        <v>1716</v>
      </c>
      <c r="E686" s="4" t="s">
        <v>1114</v>
      </c>
      <c r="F686" t="s">
        <v>928</v>
      </c>
      <c r="G686">
        <v>0.94677251577377319</v>
      </c>
      <c r="H686" t="s">
        <v>929</v>
      </c>
      <c r="I686">
        <v>0.9003298282623291</v>
      </c>
      <c r="J686" t="s">
        <v>845</v>
      </c>
      <c r="K686" s="4">
        <v>0.89369481801986694</v>
      </c>
      <c r="L686" t="s">
        <v>847</v>
      </c>
      <c r="M686">
        <v>0.56542890000000001</v>
      </c>
      <c r="N686" t="s">
        <v>1907</v>
      </c>
      <c r="O686">
        <v>0.15610436</v>
      </c>
      <c r="P686" t="s">
        <v>86</v>
      </c>
      <c r="Q686" s="4">
        <v>7.0153705999999996E-2</v>
      </c>
      <c r="R686" t="s">
        <v>86</v>
      </c>
      <c r="S686">
        <v>0.27096856000000002</v>
      </c>
      <c r="T686" t="s">
        <v>847</v>
      </c>
      <c r="U686">
        <v>0.25322815999999998</v>
      </c>
      <c r="V686" t="s">
        <v>30</v>
      </c>
      <c r="W686">
        <v>8.3764569999999997E-2</v>
      </c>
    </row>
    <row r="687" spans="1:23" x14ac:dyDescent="0.25">
      <c r="A687" s="3" t="str">
        <f>HYPERLINK("http://ids.si.edu/ids/deliveryService?id=NMAH-AHB2013q043797","NMAH-AHB2013q043797")</f>
        <v>NMAH-AHB2013q043797</v>
      </c>
      <c r="B687" s="3" t="s">
        <v>1908</v>
      </c>
      <c r="C687" s="3">
        <v>1437531</v>
      </c>
      <c r="D687" s="3" t="s">
        <v>1716</v>
      </c>
      <c r="E687" s="4" t="s">
        <v>1727</v>
      </c>
      <c r="F687" t="s">
        <v>112</v>
      </c>
      <c r="G687">
        <v>0.74956268072128296</v>
      </c>
      <c r="H687" t="s">
        <v>256</v>
      </c>
      <c r="I687">
        <v>0.74109786748886108</v>
      </c>
      <c r="J687" t="s">
        <v>1909</v>
      </c>
      <c r="K687" s="4">
        <v>0.61146402359008789</v>
      </c>
      <c r="L687" t="s">
        <v>149</v>
      </c>
      <c r="M687">
        <v>0.17205693</v>
      </c>
      <c r="N687" t="s">
        <v>1812</v>
      </c>
      <c r="O687">
        <v>0.13046381000000001</v>
      </c>
      <c r="P687" t="s">
        <v>1099</v>
      </c>
      <c r="Q687" s="4">
        <v>8.0099569999999995E-2</v>
      </c>
      <c r="R687" t="s">
        <v>149</v>
      </c>
      <c r="S687">
        <v>0.20905626999999999</v>
      </c>
      <c r="T687" t="s">
        <v>369</v>
      </c>
      <c r="U687">
        <v>7.4094480000000004E-2</v>
      </c>
      <c r="V687" t="s">
        <v>175</v>
      </c>
      <c r="W687">
        <v>3.2001276000000002E-2</v>
      </c>
    </row>
    <row r="688" spans="1:23" x14ac:dyDescent="0.25">
      <c r="A688" s="3" t="str">
        <f>HYPERLINK("http://ids.si.edu/ids/deliveryService?id=NMAH-AHB2013q043461","NMAH-AHB2013q043461")</f>
        <v>NMAH-AHB2013q043461</v>
      </c>
      <c r="B688" s="3" t="s">
        <v>1910</v>
      </c>
      <c r="C688" s="3">
        <v>1437446</v>
      </c>
      <c r="D688" s="3" t="s">
        <v>1716</v>
      </c>
      <c r="E688" s="4" t="s">
        <v>1727</v>
      </c>
      <c r="F688" t="s">
        <v>49</v>
      </c>
      <c r="G688">
        <v>0.81705206632614136</v>
      </c>
      <c r="H688" t="s">
        <v>50</v>
      </c>
      <c r="I688">
        <v>0.69359874725341797</v>
      </c>
      <c r="J688" t="s">
        <v>112</v>
      </c>
      <c r="K688" s="4">
        <v>0.68572378158569336</v>
      </c>
      <c r="L688" t="s">
        <v>460</v>
      </c>
      <c r="M688">
        <v>0.29019284000000001</v>
      </c>
      <c r="N688" t="s">
        <v>79</v>
      </c>
      <c r="O688">
        <v>6.3361219999999996E-2</v>
      </c>
      <c r="P688" t="s">
        <v>66</v>
      </c>
      <c r="Q688" s="4">
        <v>2.895994E-2</v>
      </c>
      <c r="R688" t="s">
        <v>443</v>
      </c>
      <c r="S688">
        <v>7.0548079999999999E-2</v>
      </c>
      <c r="T688" t="s">
        <v>66</v>
      </c>
      <c r="U688">
        <v>6.5350430000000001E-2</v>
      </c>
      <c r="V688" t="s">
        <v>175</v>
      </c>
      <c r="W688">
        <v>5.186313E-2</v>
      </c>
    </row>
    <row r="689" spans="1:23" x14ac:dyDescent="0.25">
      <c r="A689" s="3" t="str">
        <f>HYPERLINK("http://ids.si.edu/ids/deliveryService?id=NMAH-AHB2013q045580","NMAH-AHB2013q045580")</f>
        <v>NMAH-AHB2013q045580</v>
      </c>
      <c r="B689" s="3" t="s">
        <v>1911</v>
      </c>
      <c r="C689" s="3">
        <v>1438337</v>
      </c>
      <c r="D689" s="3" t="s">
        <v>1716</v>
      </c>
      <c r="E689" s="4" t="s">
        <v>1731</v>
      </c>
      <c r="F689" t="s">
        <v>206</v>
      </c>
      <c r="G689">
        <v>0.59933161735534668</v>
      </c>
      <c r="H689" t="s">
        <v>50</v>
      </c>
      <c r="I689">
        <v>0.5114516019821167</v>
      </c>
      <c r="L689" t="s">
        <v>320</v>
      </c>
      <c r="M689">
        <v>0.29494408</v>
      </c>
      <c r="N689" t="s">
        <v>203</v>
      </c>
      <c r="O689">
        <v>0.14477815999999999</v>
      </c>
      <c r="P689" t="s">
        <v>1912</v>
      </c>
      <c r="Q689" s="4">
        <v>8.6880020000000002E-2</v>
      </c>
      <c r="R689" t="s">
        <v>963</v>
      </c>
      <c r="S689">
        <v>0.23330317</v>
      </c>
      <c r="T689" t="s">
        <v>365</v>
      </c>
      <c r="U689">
        <v>0.15234242000000001</v>
      </c>
      <c r="V689" t="s">
        <v>961</v>
      </c>
      <c r="W689">
        <v>7.7995709999999996E-2</v>
      </c>
    </row>
    <row r="690" spans="1:23" x14ac:dyDescent="0.25">
      <c r="A690" s="3" t="str">
        <f>HYPERLINK("http://ids.si.edu/ids/deliveryService?id=NMAH-AHB2012q26456","NMAH-AHB2012q26456")</f>
        <v>NMAH-AHB2012q26456</v>
      </c>
      <c r="B690" s="3" t="s">
        <v>1913</v>
      </c>
      <c r="C690" s="3">
        <v>856498</v>
      </c>
      <c r="D690" s="3" t="s">
        <v>1716</v>
      </c>
      <c r="E690" s="4" t="s">
        <v>1722</v>
      </c>
      <c r="F690" t="s">
        <v>1723</v>
      </c>
      <c r="G690">
        <v>0.96457237005233765</v>
      </c>
      <c r="H690" t="s">
        <v>596</v>
      </c>
      <c r="I690">
        <v>0.96354377269744873</v>
      </c>
      <c r="J690" t="s">
        <v>1344</v>
      </c>
      <c r="K690" s="4">
        <v>0.75895345211029053</v>
      </c>
      <c r="L690" t="s">
        <v>598</v>
      </c>
      <c r="M690">
        <v>0.84398349999999989</v>
      </c>
      <c r="N690" t="s">
        <v>597</v>
      </c>
      <c r="O690">
        <v>0.15372954</v>
      </c>
      <c r="P690" t="s">
        <v>337</v>
      </c>
      <c r="Q690" s="4">
        <v>5.9239419999999995E-4</v>
      </c>
      <c r="R690" t="s">
        <v>598</v>
      </c>
      <c r="S690">
        <v>0.57021796999999996</v>
      </c>
      <c r="T690" t="s">
        <v>597</v>
      </c>
      <c r="U690">
        <v>0.41742711999999998</v>
      </c>
      <c r="V690" t="s">
        <v>148</v>
      </c>
      <c r="W690">
        <v>7.84785E-3</v>
      </c>
    </row>
    <row r="691" spans="1:23" x14ac:dyDescent="0.25">
      <c r="A691" s="3" t="str">
        <f>HYPERLINK("http://ids.si.edu/ids/deliveryService?id=NMAH-AHB2013q044764","NMAH-AHB2013q044764")</f>
        <v>NMAH-AHB2013q044764</v>
      </c>
      <c r="B691" s="3" t="s">
        <v>1914</v>
      </c>
      <c r="C691" s="3">
        <v>1437834</v>
      </c>
      <c r="D691" s="3" t="s">
        <v>1716</v>
      </c>
      <c r="E691" s="4" t="s">
        <v>1761</v>
      </c>
      <c r="F691" t="s">
        <v>1757</v>
      </c>
      <c r="G691">
        <v>0.94838070869445801</v>
      </c>
      <c r="H691" t="s">
        <v>91</v>
      </c>
      <c r="I691">
        <v>0.88283330202102661</v>
      </c>
      <c r="J691" t="s">
        <v>1758</v>
      </c>
      <c r="K691" s="4">
        <v>0.80878239870071411</v>
      </c>
      <c r="L691" t="s">
        <v>336</v>
      </c>
      <c r="M691">
        <v>0.86523764999999997</v>
      </c>
      <c r="N691" t="s">
        <v>149</v>
      </c>
      <c r="O691">
        <v>7.0176379999999997E-2</v>
      </c>
      <c r="P691" t="s">
        <v>1099</v>
      </c>
      <c r="Q691" s="4">
        <v>7.6718986999999997E-3</v>
      </c>
      <c r="R691" t="s">
        <v>336</v>
      </c>
      <c r="S691">
        <v>0.74073050000000007</v>
      </c>
      <c r="T691" t="s">
        <v>149</v>
      </c>
      <c r="U691">
        <v>9.6707224999999994E-2</v>
      </c>
      <c r="V691" t="s">
        <v>175</v>
      </c>
      <c r="W691">
        <v>7.0835969999999998E-2</v>
      </c>
    </row>
    <row r="692" spans="1:23" x14ac:dyDescent="0.25">
      <c r="A692" s="3" t="str">
        <f>HYPERLINK("http://ids.si.edu/ids/deliveryService?id=NMAH-AHB2013q044837","NMAH-AHB2013q044837")</f>
        <v>NMAH-AHB2013q044837</v>
      </c>
      <c r="B692" s="3" t="s">
        <v>1915</v>
      </c>
      <c r="C692" s="3">
        <v>1438197</v>
      </c>
      <c r="D692" s="3" t="s">
        <v>1716</v>
      </c>
      <c r="E692" s="4" t="s">
        <v>1763</v>
      </c>
      <c r="F692" t="s">
        <v>1757</v>
      </c>
      <c r="G692">
        <v>0.82328373193740845</v>
      </c>
      <c r="H692" t="s">
        <v>50</v>
      </c>
      <c r="I692">
        <v>0.76671713590621948</v>
      </c>
      <c r="J692" t="s">
        <v>1758</v>
      </c>
      <c r="K692" s="4">
        <v>0.75182747840881348</v>
      </c>
      <c r="L692" t="s">
        <v>336</v>
      </c>
      <c r="M692">
        <v>0.9437620000000001</v>
      </c>
      <c r="N692" t="s">
        <v>174</v>
      </c>
      <c r="O692">
        <v>2.1788957000000001E-2</v>
      </c>
      <c r="P692" t="s">
        <v>545</v>
      </c>
      <c r="Q692" s="4">
        <v>1.3053298E-2</v>
      </c>
      <c r="R692" t="s">
        <v>175</v>
      </c>
      <c r="S692">
        <v>0.23088560999999999</v>
      </c>
      <c r="T692" t="s">
        <v>706</v>
      </c>
      <c r="U692">
        <v>0.10117026</v>
      </c>
      <c r="V692" t="s">
        <v>336</v>
      </c>
      <c r="W692">
        <v>9.6488229999999994E-2</v>
      </c>
    </row>
    <row r="693" spans="1:23" x14ac:dyDescent="0.25">
      <c r="A693" s="3" t="str">
        <f>HYPERLINK("http://ids.si.edu/ids/deliveryService?id=NMAH-AHB2012q26534","NMAH-AHB2012q26534")</f>
        <v>NMAH-AHB2012q26534</v>
      </c>
      <c r="B693" s="3" t="s">
        <v>1916</v>
      </c>
      <c r="C693" s="3">
        <v>856672</v>
      </c>
      <c r="D693" s="3" t="s">
        <v>1716</v>
      </c>
      <c r="E693" s="4" t="s">
        <v>1722</v>
      </c>
      <c r="F693" t="s">
        <v>1723</v>
      </c>
      <c r="G693">
        <v>0.98354238271713257</v>
      </c>
      <c r="H693" t="s">
        <v>596</v>
      </c>
      <c r="I693">
        <v>0.97315365076065063</v>
      </c>
      <c r="J693" t="s">
        <v>532</v>
      </c>
      <c r="K693" s="4">
        <v>0.8173670768737793</v>
      </c>
      <c r="L693" t="s">
        <v>597</v>
      </c>
      <c r="M693">
        <v>0.51685404999999995</v>
      </c>
      <c r="N693" t="s">
        <v>598</v>
      </c>
      <c r="O693">
        <v>0.48258683000000002</v>
      </c>
      <c r="P693" t="s">
        <v>969</v>
      </c>
      <c r="Q693" s="4">
        <v>1.18361306E-4</v>
      </c>
      <c r="R693" t="s">
        <v>597</v>
      </c>
      <c r="S693">
        <v>0.34716069999999999</v>
      </c>
      <c r="T693" t="s">
        <v>598</v>
      </c>
      <c r="U693">
        <v>0.30836029999999998</v>
      </c>
      <c r="V693" t="s">
        <v>33</v>
      </c>
      <c r="W693">
        <v>4.3779779999999997E-2</v>
      </c>
    </row>
    <row r="694" spans="1:23" x14ac:dyDescent="0.25">
      <c r="A694" s="3" t="str">
        <f>HYPERLINK("http://ids.si.edu/ids/deliveryService?id=NMAH-AHB2017q069502","NMAH-AHB2017q069502")</f>
        <v>NMAH-AHB2017q069502</v>
      </c>
      <c r="B694" s="3" t="s">
        <v>1917</v>
      </c>
      <c r="C694" s="3">
        <v>1832682</v>
      </c>
      <c r="D694" s="3" t="s">
        <v>1716</v>
      </c>
      <c r="E694" s="4" t="s">
        <v>1918</v>
      </c>
      <c r="F694" t="s">
        <v>91</v>
      </c>
      <c r="G694">
        <v>0.88283330202102661</v>
      </c>
      <c r="H694" t="s">
        <v>1919</v>
      </c>
      <c r="I694">
        <v>0.65935558080673218</v>
      </c>
      <c r="J694" t="s">
        <v>38</v>
      </c>
      <c r="K694" s="4">
        <v>0.5338103175163269</v>
      </c>
      <c r="L694" t="s">
        <v>66</v>
      </c>
      <c r="M694">
        <v>0.17210714999999999</v>
      </c>
      <c r="N694" t="s">
        <v>151</v>
      </c>
      <c r="O694">
        <v>0.12827076000000001</v>
      </c>
      <c r="P694" t="s">
        <v>706</v>
      </c>
      <c r="Q694" s="4">
        <v>0.10394114</v>
      </c>
      <c r="R694" t="s">
        <v>66</v>
      </c>
      <c r="S694">
        <v>0.22943498000000001</v>
      </c>
      <c r="T694" t="s">
        <v>151</v>
      </c>
      <c r="U694">
        <v>0.17876817</v>
      </c>
      <c r="V694" t="s">
        <v>253</v>
      </c>
      <c r="W694">
        <v>0.10382711999999999</v>
      </c>
    </row>
    <row r="695" spans="1:23" x14ac:dyDescent="0.25">
      <c r="A695" s="3" t="str">
        <f>HYPERLINK("http://ids.si.edu/ids/deliveryService?id=NMAH-AHB2013q043371","NMAH-AHB2013q043371")</f>
        <v>NMAH-AHB2013q043371</v>
      </c>
      <c r="B695" s="3" t="s">
        <v>1920</v>
      </c>
      <c r="C695" s="3">
        <v>1437740</v>
      </c>
      <c r="D695" s="3" t="s">
        <v>1716</v>
      </c>
      <c r="E695" s="4" t="s">
        <v>1727</v>
      </c>
      <c r="F695" t="s">
        <v>1774</v>
      </c>
      <c r="G695">
        <v>0.78461205959320068</v>
      </c>
      <c r="H695" t="s">
        <v>112</v>
      </c>
      <c r="I695">
        <v>0.74956268072128296</v>
      </c>
      <c r="J695" t="s">
        <v>1921</v>
      </c>
      <c r="K695" s="4">
        <v>0.52958136796951294</v>
      </c>
      <c r="L695" t="s">
        <v>149</v>
      </c>
      <c r="M695">
        <v>0.96187400000000001</v>
      </c>
      <c r="N695" t="s">
        <v>1338</v>
      </c>
      <c r="O695">
        <v>1.6610310999999999E-2</v>
      </c>
      <c r="P695" t="s">
        <v>1052</v>
      </c>
      <c r="Q695" s="4">
        <v>2.6407477E-3</v>
      </c>
      <c r="R695" t="s">
        <v>149</v>
      </c>
      <c r="S695">
        <v>0.88705780000000012</v>
      </c>
      <c r="T695" t="s">
        <v>444</v>
      </c>
      <c r="U695">
        <v>2.0340352999999999E-2</v>
      </c>
      <c r="V695" t="s">
        <v>369</v>
      </c>
      <c r="W695">
        <v>8.9412329999999998E-3</v>
      </c>
    </row>
    <row r="696" spans="1:23" x14ac:dyDescent="0.25">
      <c r="A696" s="3" t="str">
        <f>HYPERLINK("http://ids.si.edu/ids/deliveryService?id=NMAH-AHB2012q25625","NMAH-AHB2012q25625")</f>
        <v>NMAH-AHB2012q25625</v>
      </c>
      <c r="B696" s="3" t="s">
        <v>1922</v>
      </c>
      <c r="C696" s="3">
        <v>856655</v>
      </c>
      <c r="D696" s="3" t="s">
        <v>1716</v>
      </c>
      <c r="E696" s="4" t="s">
        <v>1722</v>
      </c>
      <c r="F696" t="s">
        <v>1723</v>
      </c>
      <c r="G696">
        <v>0.9906279444694519</v>
      </c>
      <c r="H696" t="s">
        <v>596</v>
      </c>
      <c r="I696">
        <v>0.98158383369445801</v>
      </c>
      <c r="J696" t="s">
        <v>532</v>
      </c>
      <c r="K696" s="4">
        <v>0.88548117876052856</v>
      </c>
      <c r="L696" t="s">
        <v>598</v>
      </c>
      <c r="M696">
        <v>0.88430357000000004</v>
      </c>
      <c r="N696" t="s">
        <v>597</v>
      </c>
      <c r="O696">
        <v>0.11569444</v>
      </c>
      <c r="P696" t="s">
        <v>969</v>
      </c>
      <c r="Q696" s="4">
        <v>3.4915071999999989E-7</v>
      </c>
      <c r="R696" t="s">
        <v>598</v>
      </c>
      <c r="S696">
        <v>0.69741430000000004</v>
      </c>
      <c r="T696" t="s">
        <v>597</v>
      </c>
      <c r="U696">
        <v>0.30251666999999999</v>
      </c>
      <c r="V696" t="s">
        <v>600</v>
      </c>
      <c r="W696">
        <v>3.4918145999999999E-5</v>
      </c>
    </row>
    <row r="697" spans="1:23" x14ac:dyDescent="0.25">
      <c r="A697" s="3" t="str">
        <f>HYPERLINK("http://ids.si.edu/ids/deliveryService?id=NMAH-AHB2010q73262","NMAH-AHB2010q73262")</f>
        <v>NMAH-AHB2010q73262</v>
      </c>
      <c r="B697" s="3" t="s">
        <v>1923</v>
      </c>
      <c r="C697" s="3">
        <v>1126944</v>
      </c>
      <c r="D697" s="3" t="s">
        <v>1716</v>
      </c>
      <c r="E697" s="4" t="s">
        <v>1856</v>
      </c>
      <c r="F697" t="s">
        <v>179</v>
      </c>
      <c r="G697">
        <v>0.58647066354751587</v>
      </c>
      <c r="L697" t="s">
        <v>430</v>
      </c>
      <c r="M697">
        <v>0.24647842</v>
      </c>
      <c r="N697" t="s">
        <v>175</v>
      </c>
      <c r="O697">
        <v>0.13416348</v>
      </c>
      <c r="P697" t="s">
        <v>93</v>
      </c>
      <c r="Q697" s="4">
        <v>5.7101079999999999E-2</v>
      </c>
      <c r="R697" t="s">
        <v>1093</v>
      </c>
      <c r="S697">
        <v>0.22854848</v>
      </c>
      <c r="T697" t="s">
        <v>157</v>
      </c>
      <c r="U697">
        <v>0.15487372999999999</v>
      </c>
      <c r="V697" t="s">
        <v>560</v>
      </c>
      <c r="W697">
        <v>7.8247405999999992E-2</v>
      </c>
    </row>
    <row r="698" spans="1:23" x14ac:dyDescent="0.25">
      <c r="A698" s="3" t="str">
        <f>HYPERLINK("http://ids.si.edu/ids/deliveryService?id=NMAH-NMAH2002-28089","NMAH-NMAH2002-28089")</f>
        <v>NMAH-NMAH2002-28089</v>
      </c>
      <c r="B698" s="3" t="s">
        <v>1924</v>
      </c>
      <c r="C698" s="3">
        <v>1344544</v>
      </c>
      <c r="D698" s="3" t="s">
        <v>1716</v>
      </c>
      <c r="E698" s="4" t="s">
        <v>1925</v>
      </c>
      <c r="F698" t="s">
        <v>346</v>
      </c>
      <c r="G698">
        <v>0.80829805135726929</v>
      </c>
      <c r="H698" t="s">
        <v>347</v>
      </c>
      <c r="I698">
        <v>0.6348152756690979</v>
      </c>
      <c r="J698" t="s">
        <v>50</v>
      </c>
      <c r="K698" s="4">
        <v>0.5114516019821167</v>
      </c>
      <c r="L698" t="s">
        <v>572</v>
      </c>
      <c r="M698">
        <v>0.87448376000000005</v>
      </c>
      <c r="N698" t="s">
        <v>442</v>
      </c>
      <c r="O698">
        <v>2.6214366999999999E-2</v>
      </c>
      <c r="P698" t="s">
        <v>259</v>
      </c>
      <c r="Q698" s="4">
        <v>8.4864109999999993E-3</v>
      </c>
      <c r="R698" t="s">
        <v>572</v>
      </c>
      <c r="S698">
        <v>0.88452726999999998</v>
      </c>
      <c r="T698" t="s">
        <v>1627</v>
      </c>
      <c r="U698">
        <v>3.4455909999999999E-2</v>
      </c>
      <c r="V698" t="s">
        <v>261</v>
      </c>
      <c r="W698">
        <v>2.2574402E-2</v>
      </c>
    </row>
    <row r="699" spans="1:23" x14ac:dyDescent="0.25">
      <c r="A699" s="3" t="str">
        <f>HYPERLINK("http://ids.si.edu/ids/deliveryService?id=NMAH-AHB2013q044869","NMAH-AHB2013q044869")</f>
        <v>NMAH-AHB2013q044869</v>
      </c>
      <c r="B699" s="3" t="s">
        <v>1926</v>
      </c>
      <c r="C699" s="3">
        <v>1438244</v>
      </c>
      <c r="D699" s="3" t="s">
        <v>1716</v>
      </c>
      <c r="E699" s="4" t="s">
        <v>1927</v>
      </c>
      <c r="F699" t="s">
        <v>50</v>
      </c>
      <c r="G699">
        <v>0.76671713590621948</v>
      </c>
      <c r="H699" t="s">
        <v>1928</v>
      </c>
      <c r="I699">
        <v>0.67500430345535278</v>
      </c>
      <c r="J699" t="s">
        <v>49</v>
      </c>
      <c r="K699" s="4">
        <v>0.66250002384185791</v>
      </c>
      <c r="L699" t="s">
        <v>336</v>
      </c>
      <c r="M699">
        <v>0.45357728000000003</v>
      </c>
      <c r="N699" t="s">
        <v>156</v>
      </c>
      <c r="O699">
        <v>4.2472900000000001E-2</v>
      </c>
      <c r="P699" t="s">
        <v>83</v>
      </c>
      <c r="Q699" s="4">
        <v>2.8381799999999999E-2</v>
      </c>
      <c r="R699" t="s">
        <v>175</v>
      </c>
      <c r="S699">
        <v>8.0821870000000004E-2</v>
      </c>
      <c r="T699" t="s">
        <v>261</v>
      </c>
      <c r="U699">
        <v>5.340777E-2</v>
      </c>
      <c r="V699" t="s">
        <v>71</v>
      </c>
      <c r="W699">
        <v>5.0944942999999999E-2</v>
      </c>
    </row>
    <row r="700" spans="1:23" x14ac:dyDescent="0.25">
      <c r="A700" s="3" t="str">
        <f>HYPERLINK("http://ids.si.edu/ids/deliveryService?id=NMAH-AHB2013q044070","NMAH-AHB2013q044070")</f>
        <v>NMAH-AHB2013q044070</v>
      </c>
      <c r="B700" s="3" t="s">
        <v>1929</v>
      </c>
      <c r="C700" s="3">
        <v>1437535</v>
      </c>
      <c r="D700" s="3" t="s">
        <v>1716</v>
      </c>
      <c r="E700" s="4" t="s">
        <v>1763</v>
      </c>
      <c r="F700" t="s">
        <v>196</v>
      </c>
      <c r="G700">
        <v>0.83667957782745361</v>
      </c>
      <c r="H700" t="s">
        <v>112</v>
      </c>
      <c r="I700">
        <v>0.78258353471755981</v>
      </c>
      <c r="J700" t="s">
        <v>256</v>
      </c>
      <c r="K700" s="4">
        <v>0.65348172187805176</v>
      </c>
      <c r="L700" t="s">
        <v>149</v>
      </c>
      <c r="M700">
        <v>0.11553067</v>
      </c>
      <c r="N700" t="s">
        <v>369</v>
      </c>
      <c r="O700">
        <v>7.1729935999999994E-2</v>
      </c>
      <c r="P700" t="s">
        <v>185</v>
      </c>
      <c r="Q700" s="4">
        <v>2.5454662999999999E-2</v>
      </c>
      <c r="R700" t="s">
        <v>149</v>
      </c>
      <c r="S700">
        <v>0.20319021000000001</v>
      </c>
      <c r="T700" t="s">
        <v>336</v>
      </c>
      <c r="U700">
        <v>0.13681628000000001</v>
      </c>
      <c r="V700" t="s">
        <v>369</v>
      </c>
      <c r="W700">
        <v>4.6411359999999999E-2</v>
      </c>
    </row>
    <row r="701" spans="1:23" x14ac:dyDescent="0.25">
      <c r="A701" s="3" t="str">
        <f>HYPERLINK("http://ids.si.edu/ids/deliveryService?id=NMAH-AHB2013q043793","NMAH-AHB2013q043793")</f>
        <v>NMAH-AHB2013q043793</v>
      </c>
      <c r="B701" s="3" t="s">
        <v>1930</v>
      </c>
      <c r="C701" s="3">
        <v>1437536</v>
      </c>
      <c r="D701" s="3" t="s">
        <v>1716</v>
      </c>
      <c r="E701" s="4" t="s">
        <v>1727</v>
      </c>
      <c r="F701" t="s">
        <v>1774</v>
      </c>
      <c r="G701">
        <v>0.81250733137130737</v>
      </c>
      <c r="H701" t="s">
        <v>49</v>
      </c>
      <c r="I701">
        <v>0.80211687088012695</v>
      </c>
      <c r="J701" t="s">
        <v>112</v>
      </c>
      <c r="K701" s="4">
        <v>0.68572378158569336</v>
      </c>
      <c r="L701" t="s">
        <v>149</v>
      </c>
      <c r="M701">
        <v>0.70518900000000007</v>
      </c>
      <c r="N701" t="s">
        <v>1052</v>
      </c>
      <c r="O701">
        <v>5.3886410000000003E-2</v>
      </c>
      <c r="P701" t="s">
        <v>1812</v>
      </c>
      <c r="Q701" s="4">
        <v>3.9396815000000002E-2</v>
      </c>
      <c r="R701" t="s">
        <v>149</v>
      </c>
      <c r="S701">
        <v>0.23313866999999999</v>
      </c>
      <c r="T701" t="s">
        <v>369</v>
      </c>
      <c r="U701">
        <v>7.6754820000000001E-2</v>
      </c>
      <c r="V701" t="s">
        <v>314</v>
      </c>
      <c r="W701">
        <v>3.1604633E-2</v>
      </c>
    </row>
    <row r="702" spans="1:23" x14ac:dyDescent="0.25">
      <c r="A702" s="3" t="str">
        <f>HYPERLINK("http://ids.si.edu/ids/deliveryService?id=NMAH-ET2010-28929-000002","NMAH-ET2010-28929-000002")</f>
        <v>NMAH-ET2010-28929-000002</v>
      </c>
      <c r="B702" s="3" t="s">
        <v>1931</v>
      </c>
      <c r="C702" s="3">
        <v>1448457</v>
      </c>
      <c r="D702" s="3" t="s">
        <v>1716</v>
      </c>
      <c r="E702" s="4" t="s">
        <v>1932</v>
      </c>
      <c r="F702" t="s">
        <v>1598</v>
      </c>
      <c r="G702">
        <v>0.97194206714630127</v>
      </c>
      <c r="H702" t="s">
        <v>454</v>
      </c>
      <c r="I702">
        <v>0.9675024151802063</v>
      </c>
      <c r="J702" t="s">
        <v>662</v>
      </c>
      <c r="K702" s="4">
        <v>0.9241487979888916</v>
      </c>
      <c r="L702" t="s">
        <v>202</v>
      </c>
      <c r="M702">
        <v>0.51092755999999995</v>
      </c>
      <c r="N702" t="s">
        <v>1791</v>
      </c>
      <c r="O702">
        <v>0.33652934000000001</v>
      </c>
      <c r="P702" t="s">
        <v>1933</v>
      </c>
      <c r="Q702" s="4">
        <v>2.435085E-2</v>
      </c>
      <c r="R702" t="s">
        <v>202</v>
      </c>
      <c r="S702">
        <v>0.73921119999999996</v>
      </c>
      <c r="T702" t="s">
        <v>1934</v>
      </c>
      <c r="U702">
        <v>0.13210814000000001</v>
      </c>
      <c r="V702" t="s">
        <v>1791</v>
      </c>
      <c r="W702">
        <v>3.8014060000000002E-2</v>
      </c>
    </row>
    <row r="703" spans="1:23" x14ac:dyDescent="0.25">
      <c r="A703" s="3" t="str">
        <f>HYPERLINK("http://ids.si.edu/ids/deliveryService?id=NMAH-AHB2013q044483","NMAH-AHB2013q044483")</f>
        <v>NMAH-AHB2013q044483</v>
      </c>
      <c r="B703" s="3" t="s">
        <v>1935</v>
      </c>
      <c r="C703" s="3">
        <v>1437874</v>
      </c>
      <c r="D703" s="3" t="s">
        <v>1716</v>
      </c>
      <c r="E703" s="4" t="s">
        <v>1727</v>
      </c>
      <c r="F703" t="s">
        <v>188</v>
      </c>
      <c r="G703">
        <v>0.81537318229675293</v>
      </c>
      <c r="H703" t="s">
        <v>1936</v>
      </c>
      <c r="I703">
        <v>0.80263382196426392</v>
      </c>
      <c r="J703" t="s">
        <v>947</v>
      </c>
      <c r="K703" s="4">
        <v>0.76777297258377075</v>
      </c>
      <c r="L703" t="s">
        <v>1764</v>
      </c>
      <c r="M703">
        <v>0.27237152999999997</v>
      </c>
      <c r="N703" t="s">
        <v>1093</v>
      </c>
      <c r="O703">
        <v>0.27085515999999998</v>
      </c>
      <c r="P703" t="s">
        <v>156</v>
      </c>
      <c r="Q703" s="4">
        <v>3.3584352999999997E-2</v>
      </c>
      <c r="R703" t="s">
        <v>31</v>
      </c>
      <c r="S703">
        <v>0.16578917000000001</v>
      </c>
      <c r="T703" t="s">
        <v>765</v>
      </c>
      <c r="U703">
        <v>0.123231016</v>
      </c>
      <c r="V703" t="s">
        <v>156</v>
      </c>
      <c r="W703">
        <v>8.3310579999999995E-2</v>
      </c>
    </row>
    <row r="704" spans="1:23" x14ac:dyDescent="0.25">
      <c r="A704" s="3" t="str">
        <f>HYPERLINK("http://ids.si.edu/ids/deliveryService?id=NMAH-AHB2013q044315","NMAH-AHB2013q044315")</f>
        <v>NMAH-AHB2013q044315</v>
      </c>
      <c r="B704" s="3" t="s">
        <v>1937</v>
      </c>
      <c r="C704" s="3">
        <v>1437350</v>
      </c>
      <c r="D704" s="3" t="s">
        <v>1716</v>
      </c>
      <c r="E704" s="4" t="s">
        <v>1763</v>
      </c>
      <c r="F704" t="s">
        <v>1758</v>
      </c>
      <c r="G704">
        <v>0.97909629344940186</v>
      </c>
      <c r="H704" t="s">
        <v>1757</v>
      </c>
      <c r="I704">
        <v>0.97208899259567261</v>
      </c>
      <c r="J704" t="s">
        <v>155</v>
      </c>
      <c r="K704" s="4">
        <v>0.86868315935134888</v>
      </c>
      <c r="L704" t="s">
        <v>336</v>
      </c>
      <c r="M704">
        <v>0.99941325000000003</v>
      </c>
      <c r="N704" t="s">
        <v>149</v>
      </c>
      <c r="O704">
        <v>8.5794439999999989E-5</v>
      </c>
      <c r="P704" t="s">
        <v>273</v>
      </c>
      <c r="Q704" s="4">
        <v>6.4906530000000001E-5</v>
      </c>
      <c r="R704" t="s">
        <v>336</v>
      </c>
      <c r="S704">
        <v>0.98244447000000001</v>
      </c>
      <c r="T704" t="s">
        <v>175</v>
      </c>
      <c r="U704">
        <v>3.9159525000000001E-3</v>
      </c>
      <c r="V704" t="s">
        <v>149</v>
      </c>
      <c r="W704">
        <v>1.9929116000000002E-3</v>
      </c>
    </row>
    <row r="705" spans="1:23" x14ac:dyDescent="0.25">
      <c r="A705" s="3" t="str">
        <f>HYPERLINK("http://ids.si.edu/ids/deliveryService?id=NMAH-AHB2013q043659","NMAH-AHB2013q043659")</f>
        <v>NMAH-AHB2013q043659</v>
      </c>
      <c r="B705" s="3" t="s">
        <v>1938</v>
      </c>
      <c r="C705" s="3">
        <v>1437214</v>
      </c>
      <c r="D705" s="3" t="s">
        <v>1716</v>
      </c>
      <c r="E705" s="4" t="s">
        <v>1727</v>
      </c>
      <c r="F705" t="s">
        <v>132</v>
      </c>
      <c r="G705">
        <v>0.89360731840133667</v>
      </c>
      <c r="H705" t="s">
        <v>49</v>
      </c>
      <c r="I705">
        <v>0.69046992063522339</v>
      </c>
      <c r="J705" t="s">
        <v>50</v>
      </c>
      <c r="K705" s="4">
        <v>0.60706108808517456</v>
      </c>
      <c r="L705" t="s">
        <v>443</v>
      </c>
      <c r="M705">
        <v>0.20579486999999999</v>
      </c>
      <c r="N705" t="s">
        <v>336</v>
      </c>
      <c r="O705">
        <v>0.19064449999999999</v>
      </c>
      <c r="P705" t="s">
        <v>273</v>
      </c>
      <c r="Q705" s="4">
        <v>0.16749156000000001</v>
      </c>
      <c r="R705" t="s">
        <v>151</v>
      </c>
      <c r="S705">
        <v>0.20645891</v>
      </c>
      <c r="T705" t="s">
        <v>765</v>
      </c>
      <c r="U705">
        <v>8.5193870000000005E-2</v>
      </c>
      <c r="V705" t="s">
        <v>813</v>
      </c>
      <c r="W705">
        <v>8.2694723999999997E-2</v>
      </c>
    </row>
    <row r="706" spans="1:23" x14ac:dyDescent="0.25">
      <c r="A706" s="3" t="str">
        <f>HYPERLINK("http://ids.si.edu/ids/deliveryService?id=NMAH-AHB2013q043837","NMAH-AHB2013q043837")</f>
        <v>NMAH-AHB2013q043837</v>
      </c>
      <c r="B706" s="3" t="s">
        <v>1939</v>
      </c>
      <c r="C706" s="3">
        <v>1437499</v>
      </c>
      <c r="D706" s="3" t="s">
        <v>1716</v>
      </c>
      <c r="E706" s="4" t="s">
        <v>1727</v>
      </c>
      <c r="F706" t="s">
        <v>49</v>
      </c>
      <c r="G706">
        <v>0.8576776385307312</v>
      </c>
      <c r="H706" t="s">
        <v>1757</v>
      </c>
      <c r="I706">
        <v>0.79639369249343872</v>
      </c>
      <c r="J706" t="s">
        <v>50</v>
      </c>
      <c r="K706" s="4">
        <v>0.71872144937515259</v>
      </c>
      <c r="L706" t="s">
        <v>336</v>
      </c>
      <c r="M706">
        <v>0.45921729999999999</v>
      </c>
      <c r="N706" t="s">
        <v>149</v>
      </c>
      <c r="O706">
        <v>0.27150776999999998</v>
      </c>
      <c r="P706" t="s">
        <v>35</v>
      </c>
      <c r="Q706" s="4">
        <v>2.2433789999999999E-2</v>
      </c>
      <c r="R706" t="s">
        <v>175</v>
      </c>
      <c r="S706">
        <v>0.43615369999999998</v>
      </c>
      <c r="T706" t="s">
        <v>706</v>
      </c>
      <c r="U706">
        <v>0.22996970999999999</v>
      </c>
      <c r="V706" t="s">
        <v>156</v>
      </c>
      <c r="W706">
        <v>3.0017398000000001E-2</v>
      </c>
    </row>
    <row r="707" spans="1:23" x14ac:dyDescent="0.25">
      <c r="A707" s="3" t="str">
        <f>HYPERLINK("http://ids.si.edu/ids/deliveryService?id=NMAH-ET2012-13907","NMAH-ET2012-13907")</f>
        <v>NMAH-ET2012-13907</v>
      </c>
      <c r="B707" s="3" t="s">
        <v>1940</v>
      </c>
      <c r="C707" s="3">
        <v>881516</v>
      </c>
      <c r="D707" s="3" t="s">
        <v>24</v>
      </c>
      <c r="E707" s="4" t="s">
        <v>32</v>
      </c>
      <c r="F707" t="s">
        <v>26</v>
      </c>
      <c r="G707">
        <v>0.98883825540542603</v>
      </c>
      <c r="H707" t="s">
        <v>27</v>
      </c>
      <c r="I707">
        <v>0.97980707883834839</v>
      </c>
      <c r="J707" t="s">
        <v>56</v>
      </c>
      <c r="K707" s="4">
        <v>0.94717860221862793</v>
      </c>
      <c r="L707" t="s">
        <v>84</v>
      </c>
      <c r="M707">
        <v>0.29521750000000002</v>
      </c>
      <c r="N707" t="s">
        <v>82</v>
      </c>
      <c r="O707">
        <v>0.19741075999999999</v>
      </c>
      <c r="P707" t="s">
        <v>83</v>
      </c>
      <c r="Q707" s="4">
        <v>0.19431071</v>
      </c>
      <c r="R707" t="s">
        <v>82</v>
      </c>
      <c r="S707">
        <v>0.35723850000000001</v>
      </c>
      <c r="T707" t="s">
        <v>84</v>
      </c>
      <c r="U707">
        <v>0.35664960000000001</v>
      </c>
      <c r="V707" t="s">
        <v>83</v>
      </c>
      <c r="W707">
        <v>0.23219918000000001</v>
      </c>
    </row>
    <row r="708" spans="1:23" x14ac:dyDescent="0.25">
      <c r="A708" s="3" t="str">
        <f>HYPERLINK("http://ids.si.edu/ids/deliveryService?id=NMAH-AHB2016q069113","NMAH-AHB2016q069113")</f>
        <v>NMAH-AHB2016q069113</v>
      </c>
      <c r="B708" s="3" t="s">
        <v>1941</v>
      </c>
      <c r="C708" s="3">
        <v>1818319</v>
      </c>
      <c r="D708" s="3" t="s">
        <v>24</v>
      </c>
      <c r="E708" s="4" t="s">
        <v>1942</v>
      </c>
      <c r="F708" t="s">
        <v>147</v>
      </c>
      <c r="G708">
        <v>0.78796833753585815</v>
      </c>
      <c r="H708" t="s">
        <v>256</v>
      </c>
      <c r="I708">
        <v>0.65348172187805176</v>
      </c>
      <c r="J708" t="s">
        <v>1459</v>
      </c>
      <c r="K708" s="4">
        <v>0.62255406379699707</v>
      </c>
      <c r="L708" t="s">
        <v>673</v>
      </c>
      <c r="M708">
        <v>0.99123330000000009</v>
      </c>
      <c r="N708" t="s">
        <v>1338</v>
      </c>
      <c r="O708">
        <v>4.4535784999999986E-3</v>
      </c>
      <c r="P708" t="s">
        <v>184</v>
      </c>
      <c r="Q708" s="4">
        <v>2.7646810000000002E-3</v>
      </c>
      <c r="R708" t="s">
        <v>673</v>
      </c>
      <c r="S708">
        <v>0.7395235</v>
      </c>
      <c r="T708" t="s">
        <v>184</v>
      </c>
      <c r="U708">
        <v>0.14964527999999999</v>
      </c>
      <c r="V708" t="s">
        <v>152</v>
      </c>
      <c r="W708">
        <v>1.5412726999999999E-2</v>
      </c>
    </row>
    <row r="709" spans="1:23" x14ac:dyDescent="0.25">
      <c r="A709" s="3" t="str">
        <f>HYPERLINK("http://ids.si.edu/ids/deliveryService?id=NMAH-2000-10424","NMAH-2000-10424")</f>
        <v>NMAH-2000-10424</v>
      </c>
      <c r="B709" s="3" t="s">
        <v>1943</v>
      </c>
      <c r="C709" s="3">
        <v>833920</v>
      </c>
      <c r="D709" s="3" t="s">
        <v>24</v>
      </c>
      <c r="E709" s="4" t="s">
        <v>1944</v>
      </c>
      <c r="F709" t="s">
        <v>62</v>
      </c>
      <c r="G709">
        <v>0.78561568260192871</v>
      </c>
      <c r="H709" t="s">
        <v>264</v>
      </c>
      <c r="I709">
        <v>0.70912325382232666</v>
      </c>
      <c r="J709" t="s">
        <v>728</v>
      </c>
      <c r="K709" s="4">
        <v>0.6909903883934021</v>
      </c>
      <c r="L709" t="s">
        <v>65</v>
      </c>
      <c r="M709">
        <v>0.45832455</v>
      </c>
      <c r="N709" t="s">
        <v>1071</v>
      </c>
      <c r="O709">
        <v>3.2633125999999998E-2</v>
      </c>
      <c r="P709" t="s">
        <v>181</v>
      </c>
      <c r="Q709" s="4">
        <v>3.1390021999999997E-2</v>
      </c>
      <c r="R709" t="s">
        <v>426</v>
      </c>
      <c r="S709">
        <v>8.0472569999999993E-2</v>
      </c>
      <c r="T709" t="s">
        <v>65</v>
      </c>
      <c r="U709">
        <v>3.8049260000000001E-2</v>
      </c>
      <c r="V709" t="s">
        <v>804</v>
      </c>
      <c r="W709">
        <v>3.2790800000000002E-2</v>
      </c>
    </row>
    <row r="710" spans="1:23" x14ac:dyDescent="0.25">
      <c r="A710" s="3" t="str">
        <f>HYPERLINK("http://ids.si.edu/ids/deliveryService?id=NMAH-ET2016-13218-000001","NMAH-ET2016-13218-000001")</f>
        <v>NMAH-ET2016-13218-000001</v>
      </c>
      <c r="B710" s="3" t="s">
        <v>1945</v>
      </c>
      <c r="C710" s="3">
        <v>447785</v>
      </c>
      <c r="D710" s="3" t="s">
        <v>24</v>
      </c>
      <c r="E710" s="4" t="s">
        <v>1946</v>
      </c>
      <c r="F710" t="s">
        <v>147</v>
      </c>
      <c r="G710">
        <v>0.82002884149551392</v>
      </c>
      <c r="H710" t="s">
        <v>256</v>
      </c>
      <c r="I710">
        <v>0.78474724292755127</v>
      </c>
      <c r="J710" t="s">
        <v>112</v>
      </c>
      <c r="K710" s="4">
        <v>0.68572378158569336</v>
      </c>
      <c r="L710" t="s">
        <v>184</v>
      </c>
      <c r="M710">
        <v>0.93618240000000008</v>
      </c>
      <c r="N710" t="s">
        <v>209</v>
      </c>
      <c r="O710">
        <v>1.1952664999999999E-2</v>
      </c>
      <c r="P710" t="s">
        <v>65</v>
      </c>
      <c r="Q710" s="4">
        <v>7.3692505000000014E-3</v>
      </c>
      <c r="R710" t="s">
        <v>184</v>
      </c>
      <c r="S710">
        <v>0.55468359999999994</v>
      </c>
      <c r="T710" t="s">
        <v>152</v>
      </c>
      <c r="U710">
        <v>0.21755952000000001</v>
      </c>
      <c r="V710" t="s">
        <v>209</v>
      </c>
      <c r="W710">
        <v>4.5388440000000002E-2</v>
      </c>
    </row>
    <row r="711" spans="1:23" x14ac:dyDescent="0.25">
      <c r="A711" s="3" t="str">
        <f>HYPERLINK("http://ids.si.edu/ids/deliveryService?id=NMAH-ET2010-28723-000003","NMAH-ET2010-28723-000003")</f>
        <v>NMAH-ET2010-28723-000003</v>
      </c>
      <c r="B711" s="3" t="s">
        <v>1947</v>
      </c>
      <c r="C711" s="3">
        <v>438593</v>
      </c>
      <c r="D711" s="3" t="s">
        <v>24</v>
      </c>
      <c r="E711" s="4" t="s">
        <v>25</v>
      </c>
      <c r="F711" t="s">
        <v>26</v>
      </c>
      <c r="G711">
        <v>0.99201518297195435</v>
      </c>
      <c r="H711" t="s">
        <v>27</v>
      </c>
      <c r="I711">
        <v>0.98740857839584351</v>
      </c>
      <c r="J711" t="s">
        <v>28</v>
      </c>
      <c r="K711" s="4">
        <v>0.97960191965103149</v>
      </c>
      <c r="L711" t="s">
        <v>32</v>
      </c>
      <c r="M711">
        <v>0.69881433000000004</v>
      </c>
      <c r="N711" t="s">
        <v>33</v>
      </c>
      <c r="O711">
        <v>0.28056744</v>
      </c>
      <c r="P711" t="s">
        <v>34</v>
      </c>
      <c r="Q711" s="4">
        <v>1.8336290000000002E-2</v>
      </c>
      <c r="R711" t="s">
        <v>33</v>
      </c>
      <c r="S711">
        <v>0.32661822000000001</v>
      </c>
      <c r="T711" t="s">
        <v>32</v>
      </c>
      <c r="U711">
        <v>0.25429390000000002</v>
      </c>
      <c r="V711" t="s">
        <v>87</v>
      </c>
      <c r="W711">
        <v>0.19330499000000001</v>
      </c>
    </row>
    <row r="712" spans="1:23" x14ac:dyDescent="0.25">
      <c r="A712" s="3" t="str">
        <f>HYPERLINK("http://ids.si.edu/ids/deliveryService?id=NMAH-ET2013-16846","NMAH-ET2013-16846")</f>
        <v>NMAH-ET2013-16846</v>
      </c>
      <c r="B712" s="3" t="s">
        <v>1948</v>
      </c>
      <c r="C712" s="3">
        <v>440590</v>
      </c>
      <c r="D712" s="3" t="s">
        <v>24</v>
      </c>
      <c r="E712" s="4" t="s">
        <v>137</v>
      </c>
      <c r="F712" t="s">
        <v>91</v>
      </c>
      <c r="G712">
        <v>0.91031128168106079</v>
      </c>
      <c r="H712" t="s">
        <v>139</v>
      </c>
      <c r="I712">
        <v>0.85194462537765503</v>
      </c>
      <c r="J712" t="s">
        <v>1949</v>
      </c>
      <c r="K712" s="4">
        <v>0.75992578268051147</v>
      </c>
      <c r="L712" t="s">
        <v>87</v>
      </c>
      <c r="M712">
        <v>0.79615504000000004</v>
      </c>
      <c r="N712" t="s">
        <v>83</v>
      </c>
      <c r="O712">
        <v>0.11657613</v>
      </c>
      <c r="P712" t="s">
        <v>706</v>
      </c>
      <c r="Q712" s="4">
        <v>2.2174953000000001E-2</v>
      </c>
      <c r="R712" t="s">
        <v>87</v>
      </c>
      <c r="S712">
        <v>0.20612945999999999</v>
      </c>
      <c r="T712" t="s">
        <v>83</v>
      </c>
      <c r="U712">
        <v>0.1251034</v>
      </c>
      <c r="V712" t="s">
        <v>245</v>
      </c>
      <c r="W712">
        <v>8.7094119999999997E-2</v>
      </c>
    </row>
    <row r="713" spans="1:23" x14ac:dyDescent="0.25">
      <c r="A713" s="3" t="str">
        <f>HYPERLINK("http://ids.si.edu/ids/deliveryService?id=NMAH-ET2012-13933","NMAH-ET2012-13933")</f>
        <v>NMAH-ET2012-13933</v>
      </c>
      <c r="B713" s="3" t="s">
        <v>1950</v>
      </c>
      <c r="C713" s="3">
        <v>414336</v>
      </c>
      <c r="D713" s="3" t="s">
        <v>24</v>
      </c>
      <c r="E713" s="4" t="s">
        <v>1951</v>
      </c>
      <c r="F713" t="s">
        <v>26</v>
      </c>
      <c r="G713">
        <v>0.9642067551612854</v>
      </c>
      <c r="H713" t="s">
        <v>56</v>
      </c>
      <c r="I713">
        <v>0.93322324752807617</v>
      </c>
      <c r="J713" t="s">
        <v>91</v>
      </c>
      <c r="K713" s="4">
        <v>0.88283330202102661</v>
      </c>
      <c r="L713" t="s">
        <v>32</v>
      </c>
      <c r="M713">
        <v>0.37880585</v>
      </c>
      <c r="N713" t="s">
        <v>34</v>
      </c>
      <c r="O713">
        <v>0.27513199999999999</v>
      </c>
      <c r="P713" t="s">
        <v>33</v>
      </c>
      <c r="Q713" s="4">
        <v>0.11169515000000001</v>
      </c>
      <c r="R713" t="s">
        <v>82</v>
      </c>
      <c r="S713">
        <v>0.63860669999999986</v>
      </c>
      <c r="T713" t="s">
        <v>214</v>
      </c>
      <c r="U713">
        <v>9.8414290000000001E-2</v>
      </c>
      <c r="V713" t="s">
        <v>84</v>
      </c>
      <c r="W713">
        <v>5.1162720000000002E-2</v>
      </c>
    </row>
    <row r="714" spans="1:23" x14ac:dyDescent="0.25">
      <c r="A714" s="3" t="str">
        <f>HYPERLINK("http://ids.si.edu/ids/deliveryService?id=NMAH-AHB2010q05516-000001","NMAH-AHB2010q05516-000001")</f>
        <v>NMAH-AHB2010q05516-000001</v>
      </c>
      <c r="B714" s="3" t="s">
        <v>1952</v>
      </c>
      <c r="C714" s="3">
        <v>1377302</v>
      </c>
      <c r="D714" s="3" t="s">
        <v>24</v>
      </c>
      <c r="E714" s="4" t="s">
        <v>193</v>
      </c>
      <c r="F714" t="s">
        <v>76</v>
      </c>
      <c r="G714">
        <v>0.75476062297821045</v>
      </c>
      <c r="H714" t="s">
        <v>978</v>
      </c>
      <c r="I714">
        <v>0.64136034250259399</v>
      </c>
      <c r="J714" t="s">
        <v>256</v>
      </c>
      <c r="K714" s="4">
        <v>0.59585320949554443</v>
      </c>
      <c r="L714" t="s">
        <v>66</v>
      </c>
      <c r="M714">
        <v>0.34730366000000001</v>
      </c>
      <c r="N714" t="s">
        <v>369</v>
      </c>
      <c r="O714">
        <v>0.23370605999999999</v>
      </c>
      <c r="P714" t="s">
        <v>65</v>
      </c>
      <c r="Q714" s="4">
        <v>0.11302505</v>
      </c>
      <c r="R714" t="s">
        <v>66</v>
      </c>
      <c r="S714">
        <v>0.87880049999999987</v>
      </c>
      <c r="T714" t="s">
        <v>1091</v>
      </c>
      <c r="U714">
        <v>2.1648271E-2</v>
      </c>
      <c r="V714" t="s">
        <v>369</v>
      </c>
      <c r="W714">
        <v>2.0467066999999999E-2</v>
      </c>
    </row>
    <row r="715" spans="1:23" x14ac:dyDescent="0.25">
      <c r="A715" s="3" t="str">
        <f>HYPERLINK("http://ids.si.edu/ids/deliveryService?id=NMAH-ET2010-28709-000003","NMAH-ET2010-28709-000003")</f>
        <v>NMAH-ET2010-28709-000003</v>
      </c>
      <c r="B715" s="3" t="s">
        <v>1953</v>
      </c>
      <c r="C715" s="3">
        <v>438522</v>
      </c>
      <c r="D715" s="3" t="s">
        <v>24</v>
      </c>
      <c r="E715" s="4" t="s">
        <v>25</v>
      </c>
      <c r="F715" t="s">
        <v>26</v>
      </c>
      <c r="G715">
        <v>0.99032437801361084</v>
      </c>
      <c r="H715" t="s">
        <v>28</v>
      </c>
      <c r="I715">
        <v>0.97464686632156372</v>
      </c>
      <c r="J715" t="s">
        <v>27</v>
      </c>
      <c r="K715" s="4">
        <v>0.95781821012496948</v>
      </c>
      <c r="L715" t="s">
        <v>32</v>
      </c>
      <c r="M715">
        <v>0.89263320000000002</v>
      </c>
      <c r="N715" t="s">
        <v>33</v>
      </c>
      <c r="O715">
        <v>0.10383913</v>
      </c>
      <c r="P715" t="s">
        <v>34</v>
      </c>
      <c r="Q715" s="4">
        <v>2.5359888000000001E-3</v>
      </c>
      <c r="R715" t="s">
        <v>33</v>
      </c>
      <c r="S715">
        <v>0.320461</v>
      </c>
      <c r="T715" t="s">
        <v>87</v>
      </c>
      <c r="U715">
        <v>0.17156622999999999</v>
      </c>
      <c r="V715" t="s">
        <v>32</v>
      </c>
      <c r="W715">
        <v>0.16822107</v>
      </c>
    </row>
    <row r="716" spans="1:23" x14ac:dyDescent="0.25">
      <c r="A716" s="3" t="str">
        <f>HYPERLINK("http://ids.si.edu/ids/deliveryService?id=NMAH-AHB2016q069122","NMAH-AHB2016q069122")</f>
        <v>NMAH-AHB2016q069122</v>
      </c>
      <c r="B716" s="3" t="s">
        <v>1954</v>
      </c>
      <c r="C716" s="3">
        <v>1818289</v>
      </c>
      <c r="D716" s="3" t="s">
        <v>24</v>
      </c>
      <c r="E716" s="4" t="s">
        <v>1955</v>
      </c>
      <c r="F716" t="s">
        <v>147</v>
      </c>
      <c r="G716">
        <v>0.93116837739944458</v>
      </c>
      <c r="H716" t="s">
        <v>439</v>
      </c>
      <c r="I716">
        <v>0.9132421612739563</v>
      </c>
      <c r="J716" t="s">
        <v>1372</v>
      </c>
      <c r="K716" s="4">
        <v>0.6782575249671936</v>
      </c>
      <c r="L716" t="s">
        <v>609</v>
      </c>
      <c r="M716">
        <v>0.38005032999999999</v>
      </c>
      <c r="N716" t="s">
        <v>460</v>
      </c>
      <c r="O716">
        <v>9.6554749999999995E-2</v>
      </c>
      <c r="P716" t="s">
        <v>673</v>
      </c>
      <c r="Q716" s="4">
        <v>9.0391070000000004E-2</v>
      </c>
      <c r="R716" t="s">
        <v>673</v>
      </c>
      <c r="S716">
        <v>0.21511279</v>
      </c>
      <c r="T716" t="s">
        <v>1426</v>
      </c>
      <c r="U716">
        <v>6.4968880000000007E-2</v>
      </c>
      <c r="V716" t="s">
        <v>1427</v>
      </c>
      <c r="W716">
        <v>5.0240193000000002E-2</v>
      </c>
    </row>
    <row r="717" spans="1:23" x14ac:dyDescent="0.25">
      <c r="A717" s="3" t="str">
        <f>HYPERLINK("http://ids.si.edu/ids/deliveryService?id=NMAH-ET2011-43751-000001","NMAH-ET2011-43751-000001")</f>
        <v>NMAH-ET2011-43751-000001</v>
      </c>
      <c r="B717" s="3" t="s">
        <v>1956</v>
      </c>
      <c r="C717" s="3">
        <v>420950</v>
      </c>
      <c r="D717" s="3" t="s">
        <v>24</v>
      </c>
      <c r="E717" s="4" t="s">
        <v>137</v>
      </c>
      <c r="F717" t="s">
        <v>138</v>
      </c>
      <c r="G717">
        <v>0.97170913219451904</v>
      </c>
      <c r="H717" t="s">
        <v>139</v>
      </c>
      <c r="I717">
        <v>0.95661658048629761</v>
      </c>
      <c r="J717" t="s">
        <v>1949</v>
      </c>
      <c r="K717" s="4">
        <v>0.94078350067138672</v>
      </c>
      <c r="L717" t="s">
        <v>87</v>
      </c>
      <c r="M717">
        <v>0.98868750000000005</v>
      </c>
      <c r="N717" t="s">
        <v>83</v>
      </c>
      <c r="O717">
        <v>1.0566147999999999E-2</v>
      </c>
      <c r="P717" t="s">
        <v>568</v>
      </c>
      <c r="Q717" s="4">
        <v>1.093333E-4</v>
      </c>
      <c r="R717" t="s">
        <v>87</v>
      </c>
      <c r="S717">
        <v>0.96667873999999998</v>
      </c>
      <c r="T717" t="s">
        <v>83</v>
      </c>
      <c r="U717">
        <v>2.2105730000000001E-2</v>
      </c>
      <c r="V717" t="s">
        <v>245</v>
      </c>
      <c r="W717">
        <v>1.6874529E-3</v>
      </c>
    </row>
    <row r="718" spans="1:23" x14ac:dyDescent="0.25">
      <c r="A718" s="3" t="str">
        <f>HYPERLINK("http://ids.si.edu/ids/deliveryService?id=NMAH-ET2010-28649-000003","NMAH-ET2010-28649-000003")</f>
        <v>NMAH-ET2010-28649-000003</v>
      </c>
      <c r="B718" s="3" t="s">
        <v>1957</v>
      </c>
      <c r="C718" s="3">
        <v>438509</v>
      </c>
      <c r="D718" s="3" t="s">
        <v>24</v>
      </c>
      <c r="E718" s="4" t="s">
        <v>25</v>
      </c>
      <c r="F718" t="s">
        <v>26</v>
      </c>
      <c r="G718">
        <v>0.99213206768035889</v>
      </c>
      <c r="H718" t="s">
        <v>27</v>
      </c>
      <c r="I718">
        <v>0.98789280652999878</v>
      </c>
      <c r="J718" t="s">
        <v>28</v>
      </c>
      <c r="K718" s="4">
        <v>0.98260343074798584</v>
      </c>
      <c r="L718" t="s">
        <v>33</v>
      </c>
      <c r="M718">
        <v>0.58045970000000002</v>
      </c>
      <c r="N718" t="s">
        <v>32</v>
      </c>
      <c r="O718">
        <v>0.41204037999999998</v>
      </c>
      <c r="P718" t="s">
        <v>34</v>
      </c>
      <c r="Q718" s="4">
        <v>5.8383519999999998E-3</v>
      </c>
      <c r="R718" t="s">
        <v>32</v>
      </c>
      <c r="S718">
        <v>0.28226772</v>
      </c>
      <c r="T718" t="s">
        <v>33</v>
      </c>
      <c r="U718">
        <v>0.2231872</v>
      </c>
      <c r="V718" t="s">
        <v>87</v>
      </c>
      <c r="W718">
        <v>0.12519595</v>
      </c>
    </row>
    <row r="719" spans="1:23" x14ac:dyDescent="0.25">
      <c r="A719" s="3" t="str">
        <f>HYPERLINK("http://ids.si.edu/ids/deliveryService?id=NMAH-ET2012-14574","NMAH-ET2012-14574")</f>
        <v>NMAH-ET2012-14574</v>
      </c>
      <c r="B719" s="3" t="s">
        <v>1958</v>
      </c>
      <c r="C719" s="3">
        <v>446990</v>
      </c>
      <c r="D719" s="3" t="s">
        <v>24</v>
      </c>
      <c r="E719" s="4" t="s">
        <v>1959</v>
      </c>
      <c r="F719" t="s">
        <v>50</v>
      </c>
      <c r="G719">
        <v>0.83753311634063721</v>
      </c>
      <c r="H719" t="s">
        <v>49</v>
      </c>
      <c r="I719">
        <v>0.74066400527954102</v>
      </c>
      <c r="J719" t="s">
        <v>415</v>
      </c>
      <c r="K719" s="4">
        <v>0.63680678606033325</v>
      </c>
      <c r="L719" t="s">
        <v>121</v>
      </c>
      <c r="M719">
        <v>0.27810138000000001</v>
      </c>
      <c r="N719" t="s">
        <v>305</v>
      </c>
      <c r="O719">
        <v>8.9664800000000003E-2</v>
      </c>
      <c r="P719" t="s">
        <v>1484</v>
      </c>
      <c r="Q719" s="4">
        <v>8.3284499999999997E-2</v>
      </c>
      <c r="R719" t="s">
        <v>1484</v>
      </c>
      <c r="S719">
        <v>0.17363471</v>
      </c>
      <c r="T719" t="s">
        <v>259</v>
      </c>
      <c r="U719">
        <v>0.15355188</v>
      </c>
      <c r="V719" t="s">
        <v>190</v>
      </c>
      <c r="W719">
        <v>8.9558244000000009E-2</v>
      </c>
    </row>
    <row r="720" spans="1:23" x14ac:dyDescent="0.25">
      <c r="A720" s="3" t="str">
        <f>HYPERLINK("http://ids.si.edu/ids/deliveryService?id=NMAH-ET2013-16652","NMAH-ET2013-16652")</f>
        <v>NMAH-ET2013-16652</v>
      </c>
      <c r="B720" s="3" t="s">
        <v>1960</v>
      </c>
      <c r="C720" s="3">
        <v>1380747</v>
      </c>
      <c r="D720" s="3" t="s">
        <v>24</v>
      </c>
      <c r="E720" s="4" t="s">
        <v>193</v>
      </c>
      <c r="F720" t="s">
        <v>194</v>
      </c>
      <c r="G720">
        <v>0.98730200529098511</v>
      </c>
      <c r="H720" t="s">
        <v>112</v>
      </c>
      <c r="I720">
        <v>0.68572378158569336</v>
      </c>
      <c r="J720" t="s">
        <v>196</v>
      </c>
      <c r="K720" s="4">
        <v>0.68256473541259766</v>
      </c>
      <c r="L720" t="s">
        <v>259</v>
      </c>
      <c r="M720">
        <v>0.22165069000000001</v>
      </c>
      <c r="N720" t="s">
        <v>383</v>
      </c>
      <c r="O720">
        <v>0.11160145</v>
      </c>
      <c r="P720" t="s">
        <v>548</v>
      </c>
      <c r="Q720" s="4">
        <v>6.315137400000001E-2</v>
      </c>
      <c r="R720" t="s">
        <v>383</v>
      </c>
      <c r="S720">
        <v>0.54776459999999993</v>
      </c>
      <c r="T720" t="s">
        <v>66</v>
      </c>
      <c r="U720">
        <v>5.6813139999999998E-2</v>
      </c>
      <c r="V720" t="s">
        <v>209</v>
      </c>
      <c r="W720">
        <v>4.817424E-2</v>
      </c>
    </row>
    <row r="721" spans="1:23" x14ac:dyDescent="0.25">
      <c r="A721" s="3" t="str">
        <f>HYPERLINK("http://ids.si.edu/ids/deliveryService?id=NMAH-AHB2015q037759","NMAH-AHB2015q037759")</f>
        <v>NMAH-AHB2015q037759</v>
      </c>
      <c r="B721" s="3" t="s">
        <v>1961</v>
      </c>
      <c r="C721" s="3">
        <v>416599</v>
      </c>
      <c r="D721" s="3" t="s">
        <v>24</v>
      </c>
      <c r="E721" s="4" t="s">
        <v>1962</v>
      </c>
      <c r="F721" t="s">
        <v>91</v>
      </c>
      <c r="G721">
        <v>0.92529410123825073</v>
      </c>
      <c r="H721" t="s">
        <v>56</v>
      </c>
      <c r="I721">
        <v>0.59629189968109131</v>
      </c>
      <c r="J721" t="s">
        <v>26</v>
      </c>
      <c r="K721" s="4">
        <v>0.57227891683578491</v>
      </c>
      <c r="L721" t="s">
        <v>1338</v>
      </c>
      <c r="M721">
        <v>0.24293563000000001</v>
      </c>
      <c r="N721" t="s">
        <v>32</v>
      </c>
      <c r="O721">
        <v>7.1248069999999997E-2</v>
      </c>
      <c r="P721" t="s">
        <v>559</v>
      </c>
      <c r="Q721" s="4">
        <v>3.0282710000000001E-2</v>
      </c>
      <c r="R721" t="s">
        <v>370</v>
      </c>
      <c r="S721">
        <v>0.25659033999999997</v>
      </c>
      <c r="T721" t="s">
        <v>214</v>
      </c>
      <c r="U721">
        <v>6.4390610000000001E-2</v>
      </c>
      <c r="V721" t="s">
        <v>183</v>
      </c>
      <c r="W721">
        <v>3.2960664000000001E-2</v>
      </c>
    </row>
    <row r="722" spans="1:23" x14ac:dyDescent="0.25">
      <c r="A722" s="3" t="str">
        <f>HYPERLINK("http://ids.si.edu/ids/deliveryService?id=NMAH-ET2011-43851-000001","NMAH-ET2011-43851-000001")</f>
        <v>NMAH-ET2011-43851-000001</v>
      </c>
      <c r="B722" s="3" t="s">
        <v>1963</v>
      </c>
      <c r="C722" s="3">
        <v>420455</v>
      </c>
      <c r="D722" s="3" t="s">
        <v>24</v>
      </c>
      <c r="E722" s="4" t="s">
        <v>137</v>
      </c>
      <c r="F722" t="s">
        <v>91</v>
      </c>
      <c r="G722">
        <v>0.93479853868484497</v>
      </c>
      <c r="H722" t="s">
        <v>139</v>
      </c>
      <c r="I722">
        <v>0.8374059796333313</v>
      </c>
      <c r="J722" t="s">
        <v>138</v>
      </c>
      <c r="K722" s="4">
        <v>0.78574472665786743</v>
      </c>
      <c r="L722" t="s">
        <v>87</v>
      </c>
      <c r="M722">
        <v>0.92542433999999996</v>
      </c>
      <c r="N722" t="s">
        <v>83</v>
      </c>
      <c r="O722">
        <v>2.6581917E-2</v>
      </c>
      <c r="P722" t="s">
        <v>247</v>
      </c>
      <c r="Q722" s="4">
        <v>1.1320157000000001E-2</v>
      </c>
      <c r="R722" t="s">
        <v>248</v>
      </c>
      <c r="S722">
        <v>0.33672813000000001</v>
      </c>
      <c r="T722" t="s">
        <v>87</v>
      </c>
      <c r="U722">
        <v>0.25310948</v>
      </c>
      <c r="V722" t="s">
        <v>83</v>
      </c>
      <c r="W722">
        <v>8.0972359999999993E-2</v>
      </c>
    </row>
    <row r="723" spans="1:23" x14ac:dyDescent="0.25">
      <c r="A723" s="3" t="str">
        <f>HYPERLINK("http://ids.si.edu/ids/deliveryService?id=NMAH-ET2012-13954","NMAH-ET2012-13954")</f>
        <v>NMAH-ET2012-13954</v>
      </c>
      <c r="B723" s="3" t="s">
        <v>1964</v>
      </c>
      <c r="C723" s="3">
        <v>417312</v>
      </c>
      <c r="D723" s="3" t="s">
        <v>24</v>
      </c>
      <c r="E723" s="4" t="s">
        <v>1965</v>
      </c>
      <c r="F723" t="s">
        <v>26</v>
      </c>
      <c r="G723">
        <v>0.95422482490539551</v>
      </c>
      <c r="H723" t="s">
        <v>56</v>
      </c>
      <c r="I723">
        <v>0.95395457744598389</v>
      </c>
      <c r="J723" t="s">
        <v>27</v>
      </c>
      <c r="K723" s="4">
        <v>0.88201719522476196</v>
      </c>
      <c r="L723" t="s">
        <v>32</v>
      </c>
      <c r="M723">
        <v>0.33169198</v>
      </c>
      <c r="N723" t="s">
        <v>33</v>
      </c>
      <c r="O723">
        <v>0.20883252999999999</v>
      </c>
      <c r="P723" t="s">
        <v>82</v>
      </c>
      <c r="Q723" s="4">
        <v>6.9029709999999994E-2</v>
      </c>
      <c r="R723" t="s">
        <v>82</v>
      </c>
      <c r="S723">
        <v>0.37016436000000003</v>
      </c>
      <c r="T723" t="s">
        <v>214</v>
      </c>
      <c r="U723">
        <v>5.4177888E-2</v>
      </c>
      <c r="V723" t="s">
        <v>32</v>
      </c>
      <c r="W723">
        <v>3.9682627000000012E-2</v>
      </c>
    </row>
    <row r="724" spans="1:23" x14ac:dyDescent="0.25">
      <c r="A724" s="3" t="str">
        <f>HYPERLINK("http://ids.si.edu/ids/deliveryService?id=NMAH-AHB2014q020394","NMAH-AHB2014q020394")</f>
        <v>NMAH-AHB2014q020394</v>
      </c>
      <c r="B724" s="3" t="s">
        <v>1966</v>
      </c>
      <c r="C724" s="3">
        <v>1452042</v>
      </c>
      <c r="D724" s="3" t="s">
        <v>24</v>
      </c>
      <c r="E724" s="4" t="s">
        <v>59</v>
      </c>
      <c r="F724" t="s">
        <v>61</v>
      </c>
      <c r="G724">
        <v>0.96811586618423462</v>
      </c>
      <c r="H724" t="s">
        <v>60</v>
      </c>
      <c r="I724">
        <v>0.95274853706359863</v>
      </c>
      <c r="J724" t="s">
        <v>112</v>
      </c>
      <c r="K724" s="4">
        <v>0.89764219522476196</v>
      </c>
      <c r="L724" t="s">
        <v>65</v>
      </c>
      <c r="M724">
        <v>0.21163939000000001</v>
      </c>
      <c r="N724" t="s">
        <v>66</v>
      </c>
      <c r="O724">
        <v>0.18846086000000001</v>
      </c>
      <c r="P724" t="s">
        <v>29</v>
      </c>
      <c r="Q724" s="4">
        <v>0.13806736</v>
      </c>
      <c r="R724" t="s">
        <v>29</v>
      </c>
      <c r="S724">
        <v>0.26135257000000001</v>
      </c>
      <c r="T724" t="s">
        <v>66</v>
      </c>
      <c r="U724">
        <v>0.19341742000000001</v>
      </c>
      <c r="V724" t="s">
        <v>209</v>
      </c>
      <c r="W724">
        <v>3.1110780000000001E-2</v>
      </c>
    </row>
    <row r="725" spans="1:23" x14ac:dyDescent="0.25">
      <c r="A725" s="3" t="str">
        <f>HYPERLINK("http://ids.si.edu/ids/deliveryService?id=NMAH-ET2012-14008","NMAH-ET2012-14008")</f>
        <v>NMAH-ET2012-14008</v>
      </c>
      <c r="B725" s="3" t="s">
        <v>1967</v>
      </c>
      <c r="C725" s="3">
        <v>1028452</v>
      </c>
      <c r="D725" s="3" t="s">
        <v>24</v>
      </c>
      <c r="E725" s="4" t="s">
        <v>33</v>
      </c>
      <c r="F725" t="s">
        <v>27</v>
      </c>
      <c r="G725">
        <v>0.99275350570678711</v>
      </c>
      <c r="H725" t="s">
        <v>26</v>
      </c>
      <c r="I725">
        <v>0.99245905876159668</v>
      </c>
      <c r="J725" t="s">
        <v>70</v>
      </c>
      <c r="K725" s="4">
        <v>0.98489511013031006</v>
      </c>
      <c r="L725" t="s">
        <v>33</v>
      </c>
      <c r="M725">
        <v>0.9995478000000001</v>
      </c>
      <c r="N725" t="s">
        <v>34</v>
      </c>
      <c r="O725">
        <v>2.3258027999999999E-4</v>
      </c>
      <c r="P725" t="s">
        <v>32</v>
      </c>
      <c r="Q725" s="4">
        <v>1.4622520999999999E-4</v>
      </c>
      <c r="R725" t="s">
        <v>33</v>
      </c>
      <c r="S725">
        <v>0.99459580000000003</v>
      </c>
      <c r="T725" t="s">
        <v>32</v>
      </c>
      <c r="U725">
        <v>1.6470104000000001E-3</v>
      </c>
      <c r="V725" t="s">
        <v>34</v>
      </c>
      <c r="W725">
        <v>1.3790282000000001E-3</v>
      </c>
    </row>
    <row r="726" spans="1:23" x14ac:dyDescent="0.25">
      <c r="A726" s="3" t="str">
        <f>HYPERLINK("http://ids.si.edu/ids/deliveryService?id=SIA-2002-5979-08","SIA-2002-5979-08")</f>
        <v>SIA-2002-5979-08</v>
      </c>
      <c r="B726" s="3" t="s">
        <v>1968</v>
      </c>
      <c r="C726" s="3">
        <v>1195303</v>
      </c>
      <c r="D726" s="3" t="s">
        <v>24</v>
      </c>
      <c r="E726" s="4" t="s">
        <v>1384</v>
      </c>
      <c r="F726" t="s">
        <v>1499</v>
      </c>
      <c r="G726">
        <v>0.94258695840835571</v>
      </c>
      <c r="H726" t="s">
        <v>1463</v>
      </c>
      <c r="I726">
        <v>0.91763639450073242</v>
      </c>
      <c r="J726" t="s">
        <v>1462</v>
      </c>
      <c r="K726" s="4">
        <v>0.88847875595092773</v>
      </c>
      <c r="L726" t="s">
        <v>416</v>
      </c>
      <c r="M726">
        <v>0.59393114000000002</v>
      </c>
      <c r="N726" t="s">
        <v>30</v>
      </c>
      <c r="O726">
        <v>7.4753390000000003E-2</v>
      </c>
      <c r="P726" t="s">
        <v>202</v>
      </c>
      <c r="Q726" s="4">
        <v>6.3728590000000002E-2</v>
      </c>
      <c r="R726" t="s">
        <v>190</v>
      </c>
      <c r="S726">
        <v>0.20919555000000001</v>
      </c>
      <c r="T726" t="s">
        <v>464</v>
      </c>
      <c r="U726">
        <v>7.5066850000000004E-2</v>
      </c>
      <c r="V726" t="s">
        <v>202</v>
      </c>
      <c r="W726">
        <v>7.0664899999999989E-2</v>
      </c>
    </row>
    <row r="727" spans="1:23" x14ac:dyDescent="0.25">
      <c r="A727" s="3" t="str">
        <f>HYPERLINK("http://ids.si.edu/ids/deliveryService?id=NMAH-ET2010-28514-000003","NMAH-ET2010-28514-000003")</f>
        <v>NMAH-ET2010-28514-000003</v>
      </c>
      <c r="B727" s="3" t="s">
        <v>1969</v>
      </c>
      <c r="C727" s="3">
        <v>438551</v>
      </c>
      <c r="D727" s="3" t="s">
        <v>24</v>
      </c>
      <c r="E727" s="4" t="s">
        <v>25</v>
      </c>
      <c r="F727" t="s">
        <v>26</v>
      </c>
      <c r="G727">
        <v>0.98701310157775879</v>
      </c>
      <c r="H727" t="s">
        <v>28</v>
      </c>
      <c r="I727">
        <v>0.97166389226913452</v>
      </c>
      <c r="J727" t="s">
        <v>27</v>
      </c>
      <c r="K727" s="4">
        <v>0.95781821012496948</v>
      </c>
      <c r="L727" t="s">
        <v>32</v>
      </c>
      <c r="M727">
        <v>0.93804409999999994</v>
      </c>
      <c r="N727" t="s">
        <v>33</v>
      </c>
      <c r="O727">
        <v>5.8654934000000013E-2</v>
      </c>
      <c r="P727" t="s">
        <v>34</v>
      </c>
      <c r="Q727" s="4">
        <v>2.2236895999999998E-3</v>
      </c>
      <c r="R727" t="s">
        <v>33</v>
      </c>
      <c r="S727">
        <v>0.59850930000000002</v>
      </c>
      <c r="T727" t="s">
        <v>32</v>
      </c>
      <c r="U727">
        <v>8.4484234000000005E-2</v>
      </c>
      <c r="V727" t="s">
        <v>35</v>
      </c>
      <c r="W727">
        <v>7.7316955000000007E-2</v>
      </c>
    </row>
    <row r="728" spans="1:23" x14ac:dyDescent="0.25">
      <c r="A728" s="3" t="str">
        <f>HYPERLINK("http://ids.si.edu/ids/deliveryService?id=NMAH-ET2012-14994","NMAH-ET2012-14994")</f>
        <v>NMAH-ET2012-14994</v>
      </c>
      <c r="B728" s="3" t="s">
        <v>1970</v>
      </c>
      <c r="C728" s="3">
        <v>440375</v>
      </c>
      <c r="D728" s="3" t="s">
        <v>24</v>
      </c>
      <c r="E728" s="4" t="s">
        <v>1971</v>
      </c>
      <c r="F728" t="s">
        <v>101</v>
      </c>
      <c r="G728">
        <v>0.99083328247070313</v>
      </c>
      <c r="H728" t="s">
        <v>271</v>
      </c>
      <c r="I728">
        <v>0.9681704044342041</v>
      </c>
      <c r="J728" t="s">
        <v>103</v>
      </c>
      <c r="K728" s="4">
        <v>0.95810806751251221</v>
      </c>
      <c r="L728" t="s">
        <v>167</v>
      </c>
      <c r="M728">
        <v>0.29069469999999997</v>
      </c>
      <c r="N728" t="s">
        <v>104</v>
      </c>
      <c r="O728">
        <v>0.19348992000000001</v>
      </c>
      <c r="P728" t="s">
        <v>168</v>
      </c>
      <c r="Q728" s="4">
        <v>8.6909109999999998E-2</v>
      </c>
      <c r="R728" t="s">
        <v>108</v>
      </c>
      <c r="S728">
        <v>0.15091102000000001</v>
      </c>
      <c r="T728" t="s">
        <v>1972</v>
      </c>
      <c r="U728">
        <v>0.106065206</v>
      </c>
      <c r="V728" t="s">
        <v>107</v>
      </c>
      <c r="W728">
        <v>9.563956400000001E-2</v>
      </c>
    </row>
    <row r="729" spans="1:23" x14ac:dyDescent="0.25">
      <c r="A729" s="3" t="str">
        <f>HYPERLINK("http://ids.si.edu/ids/deliveryService?id=NMAH-JN2014-3139","NMAH-JN2014-3139")</f>
        <v>NMAH-JN2014-3139</v>
      </c>
      <c r="B729" s="3" t="s">
        <v>1973</v>
      </c>
      <c r="C729" s="3">
        <v>446366</v>
      </c>
      <c r="D729" s="3" t="s">
        <v>24</v>
      </c>
      <c r="E729" s="4" t="s">
        <v>100</v>
      </c>
      <c r="F729" t="s">
        <v>101</v>
      </c>
      <c r="G729">
        <v>0.9843478798866272</v>
      </c>
      <c r="H729" t="s">
        <v>103</v>
      </c>
      <c r="I729">
        <v>0.9623863697052002</v>
      </c>
      <c r="J729" t="s">
        <v>165</v>
      </c>
      <c r="K729" s="4">
        <v>0.90599173307418823</v>
      </c>
      <c r="L729" t="s">
        <v>104</v>
      </c>
      <c r="M729">
        <v>0.62352973</v>
      </c>
      <c r="N729" t="s">
        <v>166</v>
      </c>
      <c r="O729">
        <v>0.23038017999999999</v>
      </c>
      <c r="P729" t="s">
        <v>123</v>
      </c>
      <c r="Q729" s="4">
        <v>0.13430168000000001</v>
      </c>
      <c r="R729" t="s">
        <v>135</v>
      </c>
      <c r="S729">
        <v>0.28475147000000001</v>
      </c>
      <c r="T729" t="s">
        <v>294</v>
      </c>
      <c r="U729">
        <v>0.24767847000000001</v>
      </c>
      <c r="V729" t="s">
        <v>104</v>
      </c>
      <c r="W729">
        <v>9.9279039999999999E-2</v>
      </c>
    </row>
    <row r="730" spans="1:23" x14ac:dyDescent="0.25">
      <c r="A730" s="3" t="str">
        <f>HYPERLINK("http://ids.si.edu/ids/deliveryService?id=NMAH-ET2013-16650","NMAH-ET2013-16650")</f>
        <v>NMAH-ET2013-16650</v>
      </c>
      <c r="B730" s="3" t="s">
        <v>1974</v>
      </c>
      <c r="C730" s="3">
        <v>1362390</v>
      </c>
      <c r="D730" s="3" t="s">
        <v>24</v>
      </c>
      <c r="E730" s="4" t="s">
        <v>193</v>
      </c>
      <c r="F730" t="s">
        <v>194</v>
      </c>
      <c r="G730">
        <v>0.88308101892471313</v>
      </c>
      <c r="H730" t="s">
        <v>112</v>
      </c>
      <c r="I730">
        <v>0.68572378158569336</v>
      </c>
      <c r="J730" t="s">
        <v>1975</v>
      </c>
      <c r="K730" s="4">
        <v>0.64856070280075073</v>
      </c>
      <c r="L730" t="s">
        <v>390</v>
      </c>
      <c r="M730">
        <v>0.20675597000000001</v>
      </c>
      <c r="N730" t="s">
        <v>66</v>
      </c>
      <c r="O730">
        <v>5.4829568000000002E-2</v>
      </c>
      <c r="P730" t="s">
        <v>276</v>
      </c>
      <c r="Q730" s="4">
        <v>4.7423460000000001E-2</v>
      </c>
      <c r="R730" t="s">
        <v>66</v>
      </c>
      <c r="S730">
        <v>0.36604887000000003</v>
      </c>
      <c r="T730" t="s">
        <v>209</v>
      </c>
      <c r="U730">
        <v>0.15213417000000001</v>
      </c>
      <c r="V730" t="s">
        <v>226</v>
      </c>
      <c r="W730">
        <v>7.7282030000000002E-2</v>
      </c>
    </row>
    <row r="731" spans="1:23" x14ac:dyDescent="0.25">
      <c r="A731" s="3" t="str">
        <f>HYPERLINK("http://ids.si.edu/ids/deliveryService?id=NMAH-ET2012-13887","NMAH-ET2012-13887")</f>
        <v>NMAH-ET2012-13887</v>
      </c>
      <c r="B731" s="3" t="s">
        <v>1976</v>
      </c>
      <c r="C731" s="3">
        <v>414561</v>
      </c>
      <c r="D731" s="3" t="s">
        <v>24</v>
      </c>
      <c r="E731" s="4" t="s">
        <v>81</v>
      </c>
      <c r="F731" t="s">
        <v>26</v>
      </c>
      <c r="G731">
        <v>0.98332375288009644</v>
      </c>
      <c r="H731" t="s">
        <v>56</v>
      </c>
      <c r="I731">
        <v>0.95299220085144043</v>
      </c>
      <c r="J731" t="s">
        <v>27</v>
      </c>
      <c r="K731" s="4">
        <v>0.93332695960998535</v>
      </c>
      <c r="L731" t="s">
        <v>32</v>
      </c>
      <c r="M731">
        <v>0.20280595000000001</v>
      </c>
      <c r="N731" t="s">
        <v>34</v>
      </c>
      <c r="O731">
        <v>0.16035019</v>
      </c>
      <c r="P731" t="s">
        <v>33</v>
      </c>
      <c r="Q731" s="4">
        <v>6.1121519999999999E-2</v>
      </c>
      <c r="R731" t="s">
        <v>82</v>
      </c>
      <c r="S731">
        <v>0.30979517000000001</v>
      </c>
      <c r="T731" t="s">
        <v>83</v>
      </c>
      <c r="U731">
        <v>0.15666811</v>
      </c>
      <c r="V731" t="s">
        <v>84</v>
      </c>
      <c r="W731">
        <v>5.4284300000000008E-2</v>
      </c>
    </row>
    <row r="732" spans="1:23" x14ac:dyDescent="0.25">
      <c r="A732" s="3" t="str">
        <f>HYPERLINK("http://ids.si.edu/ids/deliveryService?id=NMAH-AHB2016q067212","NMAH-AHB2016q067212")</f>
        <v>NMAH-AHB2016q067212</v>
      </c>
      <c r="B732" s="3" t="s">
        <v>1977</v>
      </c>
      <c r="C732" s="3">
        <v>1760843</v>
      </c>
      <c r="D732" s="3" t="s">
        <v>24</v>
      </c>
      <c r="E732" s="4" t="s">
        <v>1978</v>
      </c>
      <c r="F732" t="s">
        <v>91</v>
      </c>
      <c r="G732">
        <v>0.88283330202102661</v>
      </c>
      <c r="H732" t="s">
        <v>179</v>
      </c>
      <c r="I732">
        <v>0.58647066354751587</v>
      </c>
      <c r="J732" t="s">
        <v>178</v>
      </c>
      <c r="K732" s="4">
        <v>0.5331730842590332</v>
      </c>
      <c r="L732" t="s">
        <v>41</v>
      </c>
      <c r="M732">
        <v>0.34758781999999999</v>
      </c>
      <c r="N732" t="s">
        <v>336</v>
      </c>
      <c r="O732">
        <v>0.25887156</v>
      </c>
      <c r="P732" t="s">
        <v>443</v>
      </c>
      <c r="Q732" s="4">
        <v>0.13706070000000001</v>
      </c>
      <c r="R732" t="s">
        <v>303</v>
      </c>
      <c r="S732">
        <v>0.23521607999999999</v>
      </c>
      <c r="T732" t="s">
        <v>363</v>
      </c>
      <c r="U732">
        <v>8.8264264000000009E-2</v>
      </c>
      <c r="V732" t="s">
        <v>443</v>
      </c>
      <c r="W732">
        <v>7.8914604999999999E-2</v>
      </c>
    </row>
    <row r="733" spans="1:23" x14ac:dyDescent="0.25">
      <c r="A733" s="3" t="str">
        <f>HYPERLINK("http://ids.si.edu/ids/deliveryService?id=NMAH-ET2013-15952","NMAH-ET2013-15952")</f>
        <v>NMAH-ET2013-15952</v>
      </c>
      <c r="B733" s="3" t="s">
        <v>1979</v>
      </c>
      <c r="C733" s="3">
        <v>439646</v>
      </c>
      <c r="D733" s="3" t="s">
        <v>24</v>
      </c>
      <c r="E733" s="4" t="s">
        <v>1980</v>
      </c>
      <c r="F733" t="s">
        <v>1832</v>
      </c>
      <c r="G733">
        <v>0.7617914080619812</v>
      </c>
      <c r="H733" t="s">
        <v>50</v>
      </c>
      <c r="I733">
        <v>0.7381446361541748</v>
      </c>
      <c r="J733" t="s">
        <v>636</v>
      </c>
      <c r="K733" s="4">
        <v>0.64690178632736206</v>
      </c>
      <c r="L733" t="s">
        <v>1981</v>
      </c>
      <c r="M733">
        <v>6.8157665000000006E-2</v>
      </c>
      <c r="N733" t="s">
        <v>459</v>
      </c>
      <c r="O733">
        <v>6.0624382999999997E-2</v>
      </c>
      <c r="P733" t="s">
        <v>829</v>
      </c>
      <c r="Q733" s="4">
        <v>5.5454160000000002E-2</v>
      </c>
      <c r="R733" t="s">
        <v>259</v>
      </c>
      <c r="S733">
        <v>0.2434123</v>
      </c>
      <c r="T733" t="s">
        <v>96</v>
      </c>
      <c r="U733">
        <v>0.21564496999999999</v>
      </c>
      <c r="V733" t="s">
        <v>365</v>
      </c>
      <c r="W733">
        <v>5.3324690000000001E-2</v>
      </c>
    </row>
    <row r="734" spans="1:23" x14ac:dyDescent="0.25">
      <c r="A734" s="3" t="str">
        <f>HYPERLINK("http://ids.si.edu/ids/deliveryService?id=NMAH-AHB2017q083290","NMAH-AHB2017q083290")</f>
        <v>NMAH-AHB2017q083290</v>
      </c>
      <c r="B734" s="3" t="s">
        <v>1982</v>
      </c>
      <c r="C734" s="3">
        <v>1856264</v>
      </c>
      <c r="D734" s="3" t="s">
        <v>24</v>
      </c>
      <c r="E734" s="4" t="s">
        <v>1182</v>
      </c>
      <c r="F734" t="s">
        <v>265</v>
      </c>
      <c r="G734">
        <v>0.91830533742904663</v>
      </c>
      <c r="H734" t="s">
        <v>264</v>
      </c>
      <c r="I734">
        <v>0.90353870391845703</v>
      </c>
      <c r="J734" t="s">
        <v>62</v>
      </c>
      <c r="K734" s="4">
        <v>0.88321912288665771</v>
      </c>
      <c r="L734" t="s">
        <v>65</v>
      </c>
      <c r="M734">
        <v>0.12554839000000001</v>
      </c>
      <c r="N734" t="s">
        <v>29</v>
      </c>
      <c r="O734">
        <v>0.12421358</v>
      </c>
      <c r="P734" t="s">
        <v>66</v>
      </c>
      <c r="Q734" s="4">
        <v>0.12245892</v>
      </c>
      <c r="R734" t="s">
        <v>66</v>
      </c>
      <c r="S734">
        <v>0.59059380000000006</v>
      </c>
      <c r="T734" t="s">
        <v>29</v>
      </c>
      <c r="U734">
        <v>9.8819630000000006E-2</v>
      </c>
      <c r="V734" t="s">
        <v>451</v>
      </c>
      <c r="W734">
        <v>6.6241690000000006E-2</v>
      </c>
    </row>
    <row r="735" spans="1:23" x14ac:dyDescent="0.25">
      <c r="A735" s="3" t="str">
        <f>HYPERLINK("http://ids.si.edu/ids/deliveryService?id=NMAH-AHB2017q000173","NMAH-AHB2017q000173")</f>
        <v>NMAH-AHB2017q000173</v>
      </c>
      <c r="B735" s="3" t="s">
        <v>1983</v>
      </c>
      <c r="C735" s="3">
        <v>447846</v>
      </c>
      <c r="D735" s="3" t="s">
        <v>24</v>
      </c>
      <c r="E735" s="4" t="s">
        <v>125</v>
      </c>
      <c r="F735" t="s">
        <v>126</v>
      </c>
      <c r="G735">
        <v>0.76600712537765503</v>
      </c>
      <c r="H735" t="s">
        <v>988</v>
      </c>
      <c r="I735">
        <v>0.73896926641464233</v>
      </c>
      <c r="J735" t="s">
        <v>741</v>
      </c>
      <c r="K735" s="4">
        <v>0.57597309350967407</v>
      </c>
      <c r="L735" t="s">
        <v>65</v>
      </c>
      <c r="M735">
        <v>0.59119606000000002</v>
      </c>
      <c r="N735" t="s">
        <v>29</v>
      </c>
      <c r="O735">
        <v>0.19002036999999999</v>
      </c>
      <c r="P735" t="s">
        <v>129</v>
      </c>
      <c r="Q735" s="4">
        <v>0.10285564</v>
      </c>
      <c r="R735" t="s">
        <v>65</v>
      </c>
      <c r="S735">
        <v>0.82553989999999999</v>
      </c>
      <c r="T735" t="s">
        <v>129</v>
      </c>
      <c r="U735">
        <v>0.10587758999999999</v>
      </c>
      <c r="V735" t="s">
        <v>29</v>
      </c>
      <c r="W735">
        <v>1.6462793999999999E-2</v>
      </c>
    </row>
    <row r="736" spans="1:23" x14ac:dyDescent="0.25">
      <c r="A736" s="3" t="str">
        <f>HYPERLINK("http://ids.si.edu/ids/deliveryService?id=NMAH-AHB2014q019240","NMAH-AHB2014q019240")</f>
        <v>NMAH-AHB2014q019240</v>
      </c>
      <c r="B736" s="3" t="s">
        <v>1984</v>
      </c>
      <c r="C736" s="3">
        <v>1452054</v>
      </c>
      <c r="D736" s="3" t="s">
        <v>24</v>
      </c>
      <c r="E736" s="4" t="s">
        <v>59</v>
      </c>
      <c r="F736" t="s">
        <v>1985</v>
      </c>
      <c r="G736">
        <v>0.95161229372024536</v>
      </c>
      <c r="H736" t="s">
        <v>61</v>
      </c>
      <c r="I736">
        <v>0.9157753586769104</v>
      </c>
      <c r="J736" t="s">
        <v>238</v>
      </c>
      <c r="K736" s="4">
        <v>0.8686530590057373</v>
      </c>
      <c r="L736" t="s">
        <v>29</v>
      </c>
      <c r="M736">
        <v>0.52833299999999994</v>
      </c>
      <c r="N736" t="s">
        <v>66</v>
      </c>
      <c r="O736">
        <v>7.1437455999999996E-2</v>
      </c>
      <c r="P736" t="s">
        <v>65</v>
      </c>
      <c r="Q736" s="4">
        <v>4.4750717000000002E-2</v>
      </c>
      <c r="R736" t="s">
        <v>29</v>
      </c>
      <c r="S736">
        <v>0.65609799999999996</v>
      </c>
      <c r="T736" t="s">
        <v>66</v>
      </c>
      <c r="U736">
        <v>5.7694820000000001E-2</v>
      </c>
      <c r="V736" t="s">
        <v>65</v>
      </c>
      <c r="W736">
        <v>4.5120288000000001E-2</v>
      </c>
    </row>
    <row r="737" spans="1:23" x14ac:dyDescent="0.25">
      <c r="A737" s="3" t="str">
        <f>HYPERLINK("http://ids.si.edu/ids/deliveryService?id=NMAH-ET2010-28632-000003","NMAH-ET2010-28632-000003")</f>
        <v>NMAH-ET2010-28632-000003</v>
      </c>
      <c r="B737" s="3" t="s">
        <v>1986</v>
      </c>
      <c r="C737" s="3">
        <v>438591</v>
      </c>
      <c r="D737" s="3" t="s">
        <v>24</v>
      </c>
      <c r="E737" s="4" t="s">
        <v>25</v>
      </c>
      <c r="F737" t="s">
        <v>26</v>
      </c>
      <c r="G737">
        <v>0.99152612686157227</v>
      </c>
      <c r="H737" t="s">
        <v>28</v>
      </c>
      <c r="I737">
        <v>0.98362219333648682</v>
      </c>
      <c r="J737" t="s">
        <v>27</v>
      </c>
      <c r="K737" s="4">
        <v>0.98265582323074341</v>
      </c>
      <c r="L737" t="s">
        <v>32</v>
      </c>
      <c r="M737">
        <v>0.75921910000000004</v>
      </c>
      <c r="N737" t="s">
        <v>33</v>
      </c>
      <c r="O737">
        <v>0.23036860000000001</v>
      </c>
      <c r="P737" t="s">
        <v>34</v>
      </c>
      <c r="Q737" s="4">
        <v>8.0520030000000003E-3</v>
      </c>
      <c r="R737" t="s">
        <v>33</v>
      </c>
      <c r="S737">
        <v>0.24647468</v>
      </c>
      <c r="T737" t="s">
        <v>87</v>
      </c>
      <c r="U737">
        <v>0.21091889999999999</v>
      </c>
      <c r="V737" t="s">
        <v>35</v>
      </c>
      <c r="W737">
        <v>0.12896731</v>
      </c>
    </row>
    <row r="738" spans="1:23" x14ac:dyDescent="0.25">
      <c r="A738" s="3" t="str">
        <f>HYPERLINK("http://ids.si.edu/ids/deliveryService?id=NMAH-JN2013-1424","NMAH-JN2013-1424")</f>
        <v>NMAH-JN2013-1424</v>
      </c>
      <c r="B738" s="3" t="s">
        <v>1987</v>
      </c>
      <c r="C738" s="3">
        <v>1419542</v>
      </c>
      <c r="D738" s="3" t="s">
        <v>24</v>
      </c>
      <c r="E738" s="4" t="s">
        <v>1988</v>
      </c>
      <c r="F738" t="s">
        <v>697</v>
      </c>
      <c r="G738">
        <v>0.95839560031890869</v>
      </c>
      <c r="H738" t="s">
        <v>699</v>
      </c>
      <c r="I738">
        <v>0.87375754117965698</v>
      </c>
      <c r="J738" t="s">
        <v>939</v>
      </c>
      <c r="K738" s="4">
        <v>0.79915976524353027</v>
      </c>
      <c r="L738" t="s">
        <v>104</v>
      </c>
      <c r="M738">
        <v>0.47571521999999999</v>
      </c>
      <c r="N738" t="s">
        <v>107</v>
      </c>
      <c r="O738">
        <v>8.0302215999999996E-2</v>
      </c>
      <c r="P738" t="s">
        <v>941</v>
      </c>
      <c r="Q738" s="4">
        <v>6.3972089999999995E-2</v>
      </c>
      <c r="R738" t="s">
        <v>106</v>
      </c>
      <c r="S738">
        <v>0.17537896</v>
      </c>
      <c r="T738" t="s">
        <v>941</v>
      </c>
      <c r="U738">
        <v>0.15848604999999999</v>
      </c>
      <c r="V738" t="s">
        <v>357</v>
      </c>
      <c r="W738">
        <v>0.12349528999999999</v>
      </c>
    </row>
    <row r="739" spans="1:23" x14ac:dyDescent="0.25">
      <c r="A739" s="3" t="str">
        <f>HYPERLINK("http://ids.si.edu/ids/deliveryService?id=NMAH-ET2013-15353","NMAH-ET2013-15353")</f>
        <v>NMAH-ET2013-15353</v>
      </c>
      <c r="B739" s="3" t="s">
        <v>1989</v>
      </c>
      <c r="C739" s="3">
        <v>1405466</v>
      </c>
      <c r="D739" s="3" t="s">
        <v>24</v>
      </c>
      <c r="E739" s="4" t="s">
        <v>1990</v>
      </c>
      <c r="F739" t="s">
        <v>1598</v>
      </c>
      <c r="G739">
        <v>0.98830306529998779</v>
      </c>
      <c r="H739" t="s">
        <v>1991</v>
      </c>
      <c r="I739">
        <v>0.93702608346939087</v>
      </c>
      <c r="J739" t="s">
        <v>361</v>
      </c>
      <c r="K739" s="4">
        <v>0.78038990497589111</v>
      </c>
      <c r="L739" t="s">
        <v>166</v>
      </c>
      <c r="M739">
        <v>0.27918920000000003</v>
      </c>
      <c r="N739" t="s">
        <v>106</v>
      </c>
      <c r="O739">
        <v>0.25813639999999999</v>
      </c>
      <c r="P739" t="s">
        <v>357</v>
      </c>
      <c r="Q739" s="4">
        <v>0.23919315999999999</v>
      </c>
      <c r="R739" t="s">
        <v>203</v>
      </c>
      <c r="S739">
        <v>0.33272847999999999</v>
      </c>
      <c r="T739" t="s">
        <v>365</v>
      </c>
      <c r="U739">
        <v>0.19796101999999999</v>
      </c>
      <c r="V739" t="s">
        <v>1992</v>
      </c>
      <c r="W739">
        <v>7.4678540000000002E-2</v>
      </c>
    </row>
    <row r="740" spans="1:23" x14ac:dyDescent="0.25">
      <c r="A740" s="3" t="str">
        <f>HYPERLINK("http://ids.si.edu/ids/deliveryService?id=NMAH-AHB2015q011651","NMAH-AHB2015q011651")</f>
        <v>NMAH-AHB2015q011651</v>
      </c>
      <c r="B740" s="3" t="s">
        <v>1993</v>
      </c>
      <c r="C740" s="3">
        <v>1694669</v>
      </c>
      <c r="D740" s="3" t="s">
        <v>24</v>
      </c>
      <c r="E740" s="4" t="s">
        <v>110</v>
      </c>
      <c r="F740" t="s">
        <v>61</v>
      </c>
      <c r="G740">
        <v>0.9697500467300415</v>
      </c>
      <c r="H740" t="s">
        <v>111</v>
      </c>
      <c r="I740">
        <v>0.83101749420166016</v>
      </c>
      <c r="J740" t="s">
        <v>220</v>
      </c>
      <c r="K740" s="4">
        <v>0.81233543157577515</v>
      </c>
      <c r="L740" t="s">
        <v>29</v>
      </c>
      <c r="M740">
        <v>0.80196935000000003</v>
      </c>
      <c r="N740" t="s">
        <v>65</v>
      </c>
      <c r="O740">
        <v>5.0433360000000003E-2</v>
      </c>
      <c r="P740" t="s">
        <v>66</v>
      </c>
      <c r="Q740" s="4">
        <v>2.6477547000000001E-2</v>
      </c>
      <c r="R740" t="s">
        <v>77</v>
      </c>
      <c r="S740">
        <v>0.8033461999999999</v>
      </c>
      <c r="T740" t="s">
        <v>222</v>
      </c>
      <c r="U740">
        <v>5.2392765999999993E-2</v>
      </c>
      <c r="V740" t="s">
        <v>29</v>
      </c>
      <c r="W740">
        <v>3.6515369999999998E-2</v>
      </c>
    </row>
    <row r="741" spans="1:23" x14ac:dyDescent="0.25">
      <c r="A741" s="3" t="str">
        <f>HYPERLINK("http://ids.si.edu/ids/deliveryService?id=NMAH-ET2010-28586-000003","NMAH-ET2010-28586-000003")</f>
        <v>NMAH-ET2010-28586-000003</v>
      </c>
      <c r="B741" s="3" t="s">
        <v>1994</v>
      </c>
      <c r="C741" s="3">
        <v>438545</v>
      </c>
      <c r="D741" s="3" t="s">
        <v>24</v>
      </c>
      <c r="E741" s="4" t="s">
        <v>25</v>
      </c>
      <c r="F741" t="s">
        <v>26</v>
      </c>
      <c r="G741">
        <v>0.99165129661560059</v>
      </c>
      <c r="H741" t="s">
        <v>28</v>
      </c>
      <c r="I741">
        <v>0.98059695959091187</v>
      </c>
      <c r="J741" t="s">
        <v>27</v>
      </c>
      <c r="K741" s="4">
        <v>0.97788780927658081</v>
      </c>
      <c r="L741" t="s">
        <v>33</v>
      </c>
      <c r="M741">
        <v>0.85963060000000002</v>
      </c>
      <c r="N741" t="s">
        <v>32</v>
      </c>
      <c r="O741">
        <v>0.13138331</v>
      </c>
      <c r="P741" t="s">
        <v>34</v>
      </c>
      <c r="Q741" s="4">
        <v>4.2301784000000004E-3</v>
      </c>
      <c r="R741" t="s">
        <v>87</v>
      </c>
      <c r="S741">
        <v>0.21253817</v>
      </c>
      <c r="T741" t="s">
        <v>33</v>
      </c>
      <c r="U741">
        <v>0.20024138999999999</v>
      </c>
      <c r="V741" t="s">
        <v>83</v>
      </c>
      <c r="W741">
        <v>0.12691960999999999</v>
      </c>
    </row>
    <row r="742" spans="1:23" x14ac:dyDescent="0.25">
      <c r="A742" s="3" t="str">
        <f>HYPERLINK("http://ids.si.edu/ids/deliveryService?id=NMAH-AHB2016q066936","NMAH-AHB2016q066936")</f>
        <v>NMAH-AHB2016q066936</v>
      </c>
      <c r="B742" s="3" t="s">
        <v>1995</v>
      </c>
      <c r="C742" s="3">
        <v>1760001</v>
      </c>
      <c r="D742" s="3" t="s">
        <v>24</v>
      </c>
      <c r="E742" s="4" t="s">
        <v>1996</v>
      </c>
      <c r="F742" t="s">
        <v>147</v>
      </c>
      <c r="G742">
        <v>0.96901792287826538</v>
      </c>
      <c r="H742" t="s">
        <v>91</v>
      </c>
      <c r="I742">
        <v>0.88283330202102661</v>
      </c>
      <c r="J742" t="s">
        <v>188</v>
      </c>
      <c r="K742" s="4">
        <v>0.65938717126846313</v>
      </c>
      <c r="L742" t="s">
        <v>571</v>
      </c>
      <c r="M742">
        <v>0.1503572</v>
      </c>
      <c r="N742" t="s">
        <v>673</v>
      </c>
      <c r="O742">
        <v>0.12771267</v>
      </c>
      <c r="P742" t="s">
        <v>185</v>
      </c>
      <c r="Q742" s="4">
        <v>5.7090114999999997E-2</v>
      </c>
      <c r="R742" t="s">
        <v>93</v>
      </c>
      <c r="S742">
        <v>0.68530639999999998</v>
      </c>
      <c r="T742" t="s">
        <v>571</v>
      </c>
      <c r="U742">
        <v>4.0911738000000003E-2</v>
      </c>
      <c r="V742" t="s">
        <v>149</v>
      </c>
      <c r="W742">
        <v>3.8947962000000003E-2</v>
      </c>
    </row>
    <row r="743" spans="1:23" x14ac:dyDescent="0.25">
      <c r="A743" s="3" t="str">
        <f>HYPERLINK("http://ids.si.edu/ids/deliveryService?id=NMAH-ET2011-43886-000001","NMAH-ET2011-43886-000001")</f>
        <v>NMAH-ET2011-43886-000001</v>
      </c>
      <c r="B743" s="3" t="s">
        <v>1997</v>
      </c>
      <c r="C743" s="3">
        <v>471371</v>
      </c>
      <c r="D743" s="3" t="s">
        <v>24</v>
      </c>
      <c r="E743" s="4" t="s">
        <v>137</v>
      </c>
      <c r="F743" t="s">
        <v>138</v>
      </c>
      <c r="G743">
        <v>0.93905878067016602</v>
      </c>
      <c r="H743" t="s">
        <v>139</v>
      </c>
      <c r="I743">
        <v>0.93455314636230469</v>
      </c>
      <c r="J743" t="s">
        <v>1949</v>
      </c>
      <c r="K743" s="4">
        <v>0.90032875537872314</v>
      </c>
      <c r="L743" t="s">
        <v>87</v>
      </c>
      <c r="M743">
        <v>0.91795886000000004</v>
      </c>
      <c r="N743" t="s">
        <v>83</v>
      </c>
      <c r="O743">
        <v>6.1280563000000003E-2</v>
      </c>
      <c r="P743" t="s">
        <v>411</v>
      </c>
      <c r="Q743" s="4">
        <v>3.1525748999999999E-3</v>
      </c>
      <c r="R743" t="s">
        <v>87</v>
      </c>
      <c r="S743">
        <v>0.63057876000000002</v>
      </c>
      <c r="T743" t="s">
        <v>248</v>
      </c>
      <c r="U743">
        <v>0.12876798</v>
      </c>
      <c r="V743" t="s">
        <v>83</v>
      </c>
      <c r="W743">
        <v>5.8711107999999998E-2</v>
      </c>
    </row>
    <row r="744" spans="1:23" x14ac:dyDescent="0.25">
      <c r="A744" s="3" t="str">
        <f>HYPERLINK("http://ids.si.edu/ids/deliveryService?id=NMAH-ET2013-16859","NMAH-ET2013-16859")</f>
        <v>NMAH-ET2013-16859</v>
      </c>
      <c r="B744" s="3" t="s">
        <v>1998</v>
      </c>
      <c r="C744" s="3">
        <v>503169</v>
      </c>
      <c r="D744" s="3" t="s">
        <v>24</v>
      </c>
      <c r="E744" s="4" t="s">
        <v>1999</v>
      </c>
      <c r="F744" t="s">
        <v>101</v>
      </c>
      <c r="G744">
        <v>0.98105353116989136</v>
      </c>
      <c r="H744" t="s">
        <v>103</v>
      </c>
      <c r="I744">
        <v>0.95242798328399658</v>
      </c>
      <c r="J744" t="s">
        <v>201</v>
      </c>
      <c r="K744" s="4">
        <v>0.93851149082183838</v>
      </c>
      <c r="L744" t="s">
        <v>104</v>
      </c>
      <c r="M744">
        <v>0.96904330000000005</v>
      </c>
      <c r="N744" t="s">
        <v>166</v>
      </c>
      <c r="O744">
        <v>2.0332416999999998E-2</v>
      </c>
      <c r="P744" t="s">
        <v>123</v>
      </c>
      <c r="Q744" s="4">
        <v>3.1713232999999999E-3</v>
      </c>
      <c r="R744" t="s">
        <v>104</v>
      </c>
      <c r="S744">
        <v>0.50813169999999996</v>
      </c>
      <c r="T744" t="s">
        <v>167</v>
      </c>
      <c r="U744">
        <v>0.13045496000000001</v>
      </c>
      <c r="V744" t="s">
        <v>108</v>
      </c>
      <c r="W744">
        <v>6.0745637999999998E-2</v>
      </c>
    </row>
    <row r="745" spans="1:23" x14ac:dyDescent="0.25">
      <c r="A745" s="3" t="str">
        <f>HYPERLINK("http://ids.si.edu/ids/deliveryService?id=NMAH-ET2011-43901-000001","NMAH-ET2011-43901-000001")</f>
        <v>NMAH-ET2011-43901-000001</v>
      </c>
      <c r="B745" s="3" t="s">
        <v>2000</v>
      </c>
      <c r="C745" s="3">
        <v>420958</v>
      </c>
      <c r="D745" s="3" t="s">
        <v>24</v>
      </c>
      <c r="E745" s="4" t="s">
        <v>137</v>
      </c>
      <c r="F745" t="s">
        <v>138</v>
      </c>
      <c r="G745">
        <v>0.96370780467987061</v>
      </c>
      <c r="H745" t="s">
        <v>139</v>
      </c>
      <c r="I745">
        <v>0.9481167197227478</v>
      </c>
      <c r="J745" t="s">
        <v>1949</v>
      </c>
      <c r="K745" s="4">
        <v>0.91421878337860107</v>
      </c>
      <c r="L745" t="s">
        <v>87</v>
      </c>
      <c r="M745">
        <v>0.87966450000000007</v>
      </c>
      <c r="N745" t="s">
        <v>83</v>
      </c>
      <c r="O745">
        <v>5.7844420000000001E-2</v>
      </c>
      <c r="P745" t="s">
        <v>673</v>
      </c>
      <c r="Q745" s="4">
        <v>1.7975624999999999E-2</v>
      </c>
      <c r="R745" t="s">
        <v>568</v>
      </c>
      <c r="S745">
        <v>0.46993922999999999</v>
      </c>
      <c r="T745" t="s">
        <v>87</v>
      </c>
      <c r="U745">
        <v>0.19467455</v>
      </c>
      <c r="V745" t="s">
        <v>247</v>
      </c>
      <c r="W745">
        <v>0.13445737999999999</v>
      </c>
    </row>
    <row r="746" spans="1:23" x14ac:dyDescent="0.25">
      <c r="A746" s="3" t="str">
        <f>HYPERLINK("http://ids.si.edu/ids/deliveryService?id=NMAH-ET2013-16873","NMAH-ET2013-16873")</f>
        <v>NMAH-ET2013-16873</v>
      </c>
      <c r="B746" s="3" t="s">
        <v>2001</v>
      </c>
      <c r="C746" s="3">
        <v>457583</v>
      </c>
      <c r="D746" s="3" t="s">
        <v>24</v>
      </c>
      <c r="E746" s="4" t="s">
        <v>100</v>
      </c>
      <c r="F746" t="s">
        <v>101</v>
      </c>
      <c r="G746">
        <v>0.98105353116989136</v>
      </c>
      <c r="H746" t="s">
        <v>103</v>
      </c>
      <c r="I746">
        <v>0.92553097009658813</v>
      </c>
      <c r="J746" t="s">
        <v>165</v>
      </c>
      <c r="K746" s="4">
        <v>0.91956359148025513</v>
      </c>
      <c r="L746" t="s">
        <v>104</v>
      </c>
      <c r="M746">
        <v>0.66841930000000005</v>
      </c>
      <c r="N746" t="s">
        <v>167</v>
      </c>
      <c r="O746">
        <v>0.106693625</v>
      </c>
      <c r="P746" t="s">
        <v>105</v>
      </c>
      <c r="Q746" s="4">
        <v>7.5400464E-2</v>
      </c>
      <c r="R746" t="s">
        <v>107</v>
      </c>
      <c r="S746">
        <v>0.26931262</v>
      </c>
      <c r="T746" t="s">
        <v>167</v>
      </c>
      <c r="U746">
        <v>8.221995E-2</v>
      </c>
      <c r="V746" t="s">
        <v>104</v>
      </c>
      <c r="W746">
        <v>5.2607898E-2</v>
      </c>
    </row>
    <row r="747" spans="1:23" x14ac:dyDescent="0.25">
      <c r="A747" s="3" t="str">
        <f>HYPERLINK("http://ids.si.edu/ids/deliveryService?id=NMAH-ET2012-13734-000001","NMAH-ET2012-13734-000001")</f>
        <v>NMAH-ET2012-13734-000001</v>
      </c>
      <c r="B747" s="3" t="s">
        <v>2002</v>
      </c>
      <c r="C747" s="3">
        <v>417407</v>
      </c>
      <c r="D747" s="3" t="s">
        <v>24</v>
      </c>
      <c r="E747" s="4" t="s">
        <v>32</v>
      </c>
      <c r="F747" t="s">
        <v>56</v>
      </c>
      <c r="G747">
        <v>0.68631350994110107</v>
      </c>
      <c r="H747" t="s">
        <v>26</v>
      </c>
      <c r="I747">
        <v>0.62696707248687744</v>
      </c>
      <c r="J747" t="s">
        <v>27</v>
      </c>
      <c r="K747" s="4">
        <v>0.5872042179107666</v>
      </c>
      <c r="L747" t="s">
        <v>32</v>
      </c>
      <c r="M747">
        <v>0.53081060000000002</v>
      </c>
      <c r="N747" t="s">
        <v>34</v>
      </c>
      <c r="O747">
        <v>8.1971050000000004E-2</v>
      </c>
      <c r="P747" t="s">
        <v>172</v>
      </c>
      <c r="Q747" s="4">
        <v>5.9736755000000002E-2</v>
      </c>
      <c r="R747" t="s">
        <v>32</v>
      </c>
      <c r="S747">
        <v>0.18094457999999999</v>
      </c>
      <c r="T747" t="s">
        <v>82</v>
      </c>
      <c r="U747">
        <v>0.14761789</v>
      </c>
      <c r="V747" t="s">
        <v>214</v>
      </c>
      <c r="W747">
        <v>0.13111400000000001</v>
      </c>
    </row>
    <row r="748" spans="1:23" x14ac:dyDescent="0.25">
      <c r="A748" s="3" t="str">
        <f>HYPERLINK("http://ids.si.edu/ids/deliveryService?id=NMAH-ET2013-17282","NMAH-ET2013-17282")</f>
        <v>NMAH-ET2013-17282</v>
      </c>
      <c r="B748" s="3" t="s">
        <v>2003</v>
      </c>
      <c r="C748" s="3">
        <v>439678</v>
      </c>
      <c r="D748" s="3" t="s">
        <v>24</v>
      </c>
      <c r="E748" s="4" t="s">
        <v>2004</v>
      </c>
      <c r="F748" t="s">
        <v>2005</v>
      </c>
      <c r="G748">
        <v>0.96438813209533691</v>
      </c>
      <c r="H748" t="s">
        <v>2006</v>
      </c>
      <c r="I748">
        <v>0.95922762155532837</v>
      </c>
      <c r="J748" t="s">
        <v>2007</v>
      </c>
      <c r="K748" s="4">
        <v>0.92760562896728516</v>
      </c>
      <c r="L748" t="s">
        <v>1627</v>
      </c>
      <c r="M748">
        <v>0.18937376</v>
      </c>
      <c r="N748" t="s">
        <v>2008</v>
      </c>
      <c r="O748">
        <v>0.106658906</v>
      </c>
      <c r="P748" t="s">
        <v>122</v>
      </c>
      <c r="Q748" s="4">
        <v>9.8163015999999992E-2</v>
      </c>
      <c r="R748" t="s">
        <v>2008</v>
      </c>
      <c r="S748">
        <v>0.13944413999999999</v>
      </c>
      <c r="T748" t="s">
        <v>1627</v>
      </c>
      <c r="U748">
        <v>0.10896219</v>
      </c>
      <c r="V748" t="s">
        <v>1992</v>
      </c>
      <c r="W748">
        <v>8.8509895000000005E-2</v>
      </c>
    </row>
    <row r="749" spans="1:23" x14ac:dyDescent="0.25">
      <c r="A749" s="3" t="str">
        <f>HYPERLINK("http://ids.si.edu/ids/deliveryService?id=NMAH-ET2013-15532","NMAH-ET2013-15532")</f>
        <v>NMAH-ET2013-15532</v>
      </c>
      <c r="B749" s="3" t="s">
        <v>2009</v>
      </c>
      <c r="C749" s="3">
        <v>447169</v>
      </c>
      <c r="D749" s="3" t="s">
        <v>24</v>
      </c>
      <c r="E749" s="4" t="s">
        <v>360</v>
      </c>
      <c r="F749" t="s">
        <v>272</v>
      </c>
      <c r="G749">
        <v>0.90627843141555786</v>
      </c>
      <c r="H749" t="s">
        <v>361</v>
      </c>
      <c r="I749">
        <v>0.76150339841842651</v>
      </c>
      <c r="J749" t="s">
        <v>1598</v>
      </c>
      <c r="K749" s="4">
        <v>0.67359989881515503</v>
      </c>
      <c r="L749" t="s">
        <v>258</v>
      </c>
      <c r="M749">
        <v>5.7210143999999997E-2</v>
      </c>
      <c r="N749" t="s">
        <v>450</v>
      </c>
      <c r="O749">
        <v>4.0313408000000002E-2</v>
      </c>
      <c r="P749" t="s">
        <v>701</v>
      </c>
      <c r="Q749" s="4">
        <v>3.3948230000000003E-2</v>
      </c>
      <c r="R749" t="s">
        <v>1403</v>
      </c>
      <c r="S749">
        <v>0.24862010000000001</v>
      </c>
      <c r="T749" t="s">
        <v>363</v>
      </c>
      <c r="U749">
        <v>8.6669750000000004E-2</v>
      </c>
      <c r="V749" t="s">
        <v>1484</v>
      </c>
      <c r="W749">
        <v>7.1163560000000001E-2</v>
      </c>
    </row>
    <row r="750" spans="1:23" x14ac:dyDescent="0.25">
      <c r="A750" s="3" t="str">
        <f>HYPERLINK("http://ids.si.edu/ids/deliveryService?id=NMAH-ET2010-31890-000003","NMAH-ET2010-31890-000003")</f>
        <v>NMAH-ET2010-31890-000003</v>
      </c>
      <c r="B750" s="3" t="s">
        <v>2010</v>
      </c>
      <c r="C750" s="3">
        <v>438557</v>
      </c>
      <c r="D750" s="3" t="s">
        <v>24</v>
      </c>
      <c r="E750" s="4" t="s">
        <v>2011</v>
      </c>
      <c r="F750" t="s">
        <v>910</v>
      </c>
      <c r="G750">
        <v>0.6657860279083252</v>
      </c>
      <c r="H750" t="s">
        <v>324</v>
      </c>
      <c r="I750">
        <v>0.65093451738357544</v>
      </c>
      <c r="J750" t="s">
        <v>50</v>
      </c>
      <c r="K750" s="4">
        <v>0.60706108808517456</v>
      </c>
      <c r="L750" t="s">
        <v>87</v>
      </c>
      <c r="M750">
        <v>0.71030146000000005</v>
      </c>
      <c r="N750" t="s">
        <v>32</v>
      </c>
      <c r="O750">
        <v>0.17082648</v>
      </c>
      <c r="P750" t="s">
        <v>53</v>
      </c>
      <c r="Q750" s="4">
        <v>4.8084024000000003E-2</v>
      </c>
      <c r="R750" t="s">
        <v>33</v>
      </c>
      <c r="S750">
        <v>0.55816319999999997</v>
      </c>
      <c r="T750" t="s">
        <v>32</v>
      </c>
      <c r="U750">
        <v>0.14669678</v>
      </c>
      <c r="V750" t="s">
        <v>72</v>
      </c>
      <c r="W750">
        <v>4.9921684000000001E-2</v>
      </c>
    </row>
    <row r="751" spans="1:23" x14ac:dyDescent="0.25">
      <c r="A751" s="3" t="str">
        <f>HYPERLINK("http://ids.si.edu/ids/deliveryService?id=NMAH-2004-39199-01","NMAH-2004-39199-01")</f>
        <v>NMAH-2004-39199-01</v>
      </c>
      <c r="B751" s="3" t="s">
        <v>2012</v>
      </c>
      <c r="C751" s="3">
        <v>425415</v>
      </c>
      <c r="D751" s="3" t="s">
        <v>24</v>
      </c>
      <c r="E751" s="4" t="s">
        <v>2013</v>
      </c>
      <c r="F751" t="s">
        <v>1130</v>
      </c>
      <c r="G751">
        <v>0.9911496639251709</v>
      </c>
      <c r="H751" t="s">
        <v>2014</v>
      </c>
      <c r="I751">
        <v>0.91557550430297852</v>
      </c>
      <c r="J751" t="s">
        <v>2015</v>
      </c>
      <c r="K751" s="4">
        <v>0.74918097257614136</v>
      </c>
      <c r="L751" t="s">
        <v>2016</v>
      </c>
      <c r="M751">
        <v>0.5503268</v>
      </c>
      <c r="N751" t="s">
        <v>2017</v>
      </c>
      <c r="O751">
        <v>0.12639507999999999</v>
      </c>
      <c r="P751" t="s">
        <v>2018</v>
      </c>
      <c r="Q751" s="4">
        <v>5.3327422999999999E-2</v>
      </c>
      <c r="R751" t="s">
        <v>2016</v>
      </c>
      <c r="S751">
        <v>0.33103665999999998</v>
      </c>
      <c r="T751" t="s">
        <v>2017</v>
      </c>
      <c r="U751">
        <v>0.22550596000000001</v>
      </c>
      <c r="V751" t="s">
        <v>1135</v>
      </c>
      <c r="W751">
        <v>9.4544760000000005E-2</v>
      </c>
    </row>
    <row r="752" spans="1:23" x14ac:dyDescent="0.25">
      <c r="A752" s="3" t="str">
        <f>HYPERLINK("http://ids.si.edu/ids/deliveryService?id=NMAH-ET2010-28456-000003","NMAH-ET2010-28456-000003")</f>
        <v>NMAH-ET2010-28456-000003</v>
      </c>
      <c r="B752" s="3" t="s">
        <v>2019</v>
      </c>
      <c r="C752" s="3">
        <v>438570</v>
      </c>
      <c r="D752" s="3" t="s">
        <v>24</v>
      </c>
      <c r="E752" s="4" t="s">
        <v>25</v>
      </c>
      <c r="F752" t="s">
        <v>26</v>
      </c>
      <c r="G752">
        <v>0.99201518297195435</v>
      </c>
      <c r="H752" t="s">
        <v>27</v>
      </c>
      <c r="I752">
        <v>0.98887330293655396</v>
      </c>
      <c r="J752" t="s">
        <v>28</v>
      </c>
      <c r="K752" s="4">
        <v>0.98362219333648682</v>
      </c>
      <c r="L752" t="s">
        <v>32</v>
      </c>
      <c r="M752">
        <v>0.54493519999999995</v>
      </c>
      <c r="N752" t="s">
        <v>33</v>
      </c>
      <c r="O752">
        <v>0.45338568000000001</v>
      </c>
      <c r="P752" t="s">
        <v>34</v>
      </c>
      <c r="Q752" s="4">
        <v>1.4318454000000001E-3</v>
      </c>
      <c r="R752" t="s">
        <v>87</v>
      </c>
      <c r="S752">
        <v>0.39693846999999999</v>
      </c>
      <c r="T752" t="s">
        <v>33</v>
      </c>
      <c r="U752">
        <v>0.21992365999999999</v>
      </c>
      <c r="V752" t="s">
        <v>32</v>
      </c>
      <c r="W752">
        <v>0.11770935</v>
      </c>
    </row>
    <row r="753" spans="1:23" x14ac:dyDescent="0.25">
      <c r="A753" s="3" t="str">
        <f>HYPERLINK("http://ids.si.edu/ids/deliveryService?id=NMAH-AHB2016q015007","NMAH-AHB2016q015007")</f>
        <v>NMAH-AHB2016q015007</v>
      </c>
      <c r="B753" s="3" t="s">
        <v>2020</v>
      </c>
      <c r="C753" s="3">
        <v>1591199</v>
      </c>
      <c r="D753" s="3" t="s">
        <v>24</v>
      </c>
      <c r="E753" s="4" t="s">
        <v>2021</v>
      </c>
      <c r="F753" t="s">
        <v>1124</v>
      </c>
      <c r="G753">
        <v>0.96007329225540161</v>
      </c>
      <c r="H753" t="s">
        <v>1529</v>
      </c>
      <c r="I753">
        <v>0.89707338809967041</v>
      </c>
      <c r="J753" t="s">
        <v>206</v>
      </c>
      <c r="K753" s="4">
        <v>0.85675930976867676</v>
      </c>
      <c r="L753" t="s">
        <v>358</v>
      </c>
      <c r="M753">
        <v>0.73697656</v>
      </c>
      <c r="N753" t="s">
        <v>1028</v>
      </c>
      <c r="O753">
        <v>5.238893E-2</v>
      </c>
      <c r="P753" t="s">
        <v>42</v>
      </c>
      <c r="Q753" s="4">
        <v>2.4051276999999999E-2</v>
      </c>
      <c r="R753" t="s">
        <v>358</v>
      </c>
      <c r="S753">
        <v>0.48875695000000002</v>
      </c>
      <c r="T753" t="s">
        <v>1028</v>
      </c>
      <c r="U753">
        <v>0.25101699999999999</v>
      </c>
      <c r="V753" t="s">
        <v>2022</v>
      </c>
      <c r="W753">
        <v>8.7214849999999997E-2</v>
      </c>
    </row>
    <row r="754" spans="1:23" x14ac:dyDescent="0.25">
      <c r="A754" s="3" t="str">
        <f>HYPERLINK("http://ids.si.edu/ids/deliveryService?id=NMAH-ET2012-13930","NMAH-ET2012-13930")</f>
        <v>NMAH-ET2012-13930</v>
      </c>
      <c r="B754" s="3" t="s">
        <v>2023</v>
      </c>
      <c r="C754" s="3">
        <v>417338</v>
      </c>
      <c r="D754" s="3" t="s">
        <v>24</v>
      </c>
      <c r="E754" s="4" t="s">
        <v>1951</v>
      </c>
      <c r="F754" t="s">
        <v>56</v>
      </c>
      <c r="G754">
        <v>0.95299220085144043</v>
      </c>
      <c r="H754" t="s">
        <v>27</v>
      </c>
      <c r="I754">
        <v>0.94231885671615601</v>
      </c>
      <c r="J754" t="s">
        <v>26</v>
      </c>
      <c r="K754" s="4">
        <v>0.90480220317840576</v>
      </c>
      <c r="L754" t="s">
        <v>82</v>
      </c>
      <c r="M754">
        <v>0.43260807000000001</v>
      </c>
      <c r="N754" t="s">
        <v>32</v>
      </c>
      <c r="O754">
        <v>0.19339219999999999</v>
      </c>
      <c r="P754" t="s">
        <v>83</v>
      </c>
      <c r="Q754" s="4">
        <v>6.2639150000000005E-2</v>
      </c>
      <c r="R754" t="s">
        <v>82</v>
      </c>
      <c r="S754">
        <v>0.40930309999999998</v>
      </c>
      <c r="T754" t="s">
        <v>214</v>
      </c>
      <c r="U754">
        <v>0.10500622</v>
      </c>
      <c r="V754" t="s">
        <v>536</v>
      </c>
      <c r="W754">
        <v>4.1530289999999997E-2</v>
      </c>
    </row>
    <row r="755" spans="1:23" x14ac:dyDescent="0.25">
      <c r="A755" s="3" t="str">
        <f>HYPERLINK("http://ids.si.edu/ids/deliveryService?id=NMAH-2002-5971-09","NMAH-2002-5971-09")</f>
        <v>NMAH-2002-5971-09</v>
      </c>
      <c r="B755" s="3" t="s">
        <v>2024</v>
      </c>
      <c r="C755" s="3">
        <v>1193832</v>
      </c>
      <c r="D755" s="3" t="s">
        <v>24</v>
      </c>
      <c r="E755" s="4" t="s">
        <v>2025</v>
      </c>
      <c r="F755" t="s">
        <v>196</v>
      </c>
      <c r="G755">
        <v>0.94158381223678589</v>
      </c>
      <c r="H755" t="s">
        <v>61</v>
      </c>
      <c r="I755">
        <v>0.90306717157363892</v>
      </c>
      <c r="J755" t="s">
        <v>112</v>
      </c>
      <c r="K755" s="4">
        <v>0.86162483692169189</v>
      </c>
      <c r="L755" t="s">
        <v>29</v>
      </c>
      <c r="M755">
        <v>0.34515887000000001</v>
      </c>
      <c r="N755" t="s">
        <v>66</v>
      </c>
      <c r="O755">
        <v>6.9538370000000002E-2</v>
      </c>
      <c r="P755" t="s">
        <v>738</v>
      </c>
      <c r="Q755" s="4">
        <v>2.2777868E-2</v>
      </c>
      <c r="R755" t="s">
        <v>31</v>
      </c>
      <c r="S755">
        <v>0.18997648</v>
      </c>
      <c r="T755" t="s">
        <v>183</v>
      </c>
      <c r="U755">
        <v>9.4365149999999995E-2</v>
      </c>
      <c r="V755" t="s">
        <v>444</v>
      </c>
      <c r="W755">
        <v>4.0216966999999999E-2</v>
      </c>
    </row>
    <row r="756" spans="1:23" x14ac:dyDescent="0.25">
      <c r="A756" s="3" t="str">
        <f>HYPERLINK("http://ids.si.edu/ids/deliveryService?id=NMAH-ET2012-13853-000001","NMAH-ET2012-13853-000001")</f>
        <v>NMAH-ET2012-13853-000001</v>
      </c>
      <c r="B756" s="3" t="s">
        <v>2026</v>
      </c>
      <c r="C756" s="3">
        <v>1424192</v>
      </c>
      <c r="D756" s="3" t="s">
        <v>24</v>
      </c>
      <c r="E756" s="4" t="s">
        <v>309</v>
      </c>
      <c r="F756" t="s">
        <v>1494</v>
      </c>
      <c r="G756">
        <v>0.90780621767044067</v>
      </c>
      <c r="H756" t="s">
        <v>1461</v>
      </c>
      <c r="I756">
        <v>0.88011366128921509</v>
      </c>
      <c r="J756" t="s">
        <v>1462</v>
      </c>
      <c r="K756" s="4">
        <v>0.69437938928604126</v>
      </c>
      <c r="L756" t="s">
        <v>336</v>
      </c>
      <c r="M756">
        <v>0.24543276</v>
      </c>
      <c r="N756" t="s">
        <v>259</v>
      </c>
      <c r="O756">
        <v>0.12919596999999999</v>
      </c>
      <c r="P756" t="s">
        <v>1093</v>
      </c>
      <c r="Q756" s="4">
        <v>5.1445673999999997E-2</v>
      </c>
      <c r="R756" t="s">
        <v>259</v>
      </c>
      <c r="S756">
        <v>0.22491729999999999</v>
      </c>
      <c r="T756" t="s">
        <v>190</v>
      </c>
      <c r="U756">
        <v>8.044308E-2</v>
      </c>
      <c r="V756" t="s">
        <v>273</v>
      </c>
      <c r="W756">
        <v>4.5789164000000007E-2</v>
      </c>
    </row>
    <row r="757" spans="1:23" x14ac:dyDescent="0.25">
      <c r="A757" s="3" t="str">
        <f>HYPERLINK("http://ids.si.edu/ids/deliveryService?id=NMAH-ET2013-16653","NMAH-ET2013-16653")</f>
        <v>NMAH-ET2013-16653</v>
      </c>
      <c r="B757" s="3" t="s">
        <v>2027</v>
      </c>
      <c r="C757" s="3">
        <v>1372055</v>
      </c>
      <c r="D757" s="3" t="s">
        <v>24</v>
      </c>
      <c r="E757" s="4" t="s">
        <v>193</v>
      </c>
      <c r="F757" t="s">
        <v>206</v>
      </c>
      <c r="G757">
        <v>0.54842841625213623</v>
      </c>
      <c r="L757" t="s">
        <v>44</v>
      </c>
      <c r="M757">
        <v>0.34798141999999999</v>
      </c>
      <c r="N757" t="s">
        <v>42</v>
      </c>
      <c r="O757">
        <v>0.27987397000000003</v>
      </c>
      <c r="P757" t="s">
        <v>198</v>
      </c>
      <c r="Q757" s="4">
        <v>0.11368744</v>
      </c>
      <c r="R757" t="s">
        <v>42</v>
      </c>
      <c r="S757">
        <v>0.13611667999999999</v>
      </c>
      <c r="T757" t="s">
        <v>226</v>
      </c>
      <c r="U757">
        <v>0.121581994</v>
      </c>
      <c r="V757" t="s">
        <v>336</v>
      </c>
      <c r="W757">
        <v>0.10406582</v>
      </c>
    </row>
    <row r="758" spans="1:23" x14ac:dyDescent="0.25">
      <c r="A758" s="3" t="str">
        <f>HYPERLINK("http://ids.si.edu/ids/deliveryService?id=NMAH-ET2010-31534-000003","NMAH-ET2010-31534-000003")</f>
        <v>NMAH-ET2010-31534-000003</v>
      </c>
      <c r="B758" s="3" t="s">
        <v>2028</v>
      </c>
      <c r="C758" s="3">
        <v>438592</v>
      </c>
      <c r="D758" s="3" t="s">
        <v>24</v>
      </c>
      <c r="E758" s="4" t="s">
        <v>25</v>
      </c>
      <c r="F758" t="s">
        <v>26</v>
      </c>
      <c r="G758">
        <v>0.99127054214477539</v>
      </c>
      <c r="H758" t="s">
        <v>27</v>
      </c>
      <c r="I758">
        <v>0.97297447919845581</v>
      </c>
      <c r="J758" t="s">
        <v>28</v>
      </c>
      <c r="K758" s="4">
        <v>0.96865987777709961</v>
      </c>
      <c r="L758" t="s">
        <v>33</v>
      </c>
      <c r="M758">
        <v>0.55548609999999998</v>
      </c>
      <c r="N758" t="s">
        <v>32</v>
      </c>
      <c r="O758">
        <v>0.38164895999999998</v>
      </c>
      <c r="P758" t="s">
        <v>34</v>
      </c>
      <c r="Q758" s="4">
        <v>3.0687636000000001E-2</v>
      </c>
      <c r="R758" t="s">
        <v>33</v>
      </c>
      <c r="S758">
        <v>0.63599216999999997</v>
      </c>
      <c r="T758" t="s">
        <v>32</v>
      </c>
      <c r="U758">
        <v>0.11006552999999999</v>
      </c>
      <c r="V758" t="s">
        <v>35</v>
      </c>
      <c r="W758">
        <v>4.9612977000000003E-2</v>
      </c>
    </row>
    <row r="759" spans="1:23" x14ac:dyDescent="0.25">
      <c r="A759" s="3" t="str">
        <f>HYPERLINK("http://ids.si.edu/ids/deliveryService?id=NMAH-AHB2012ps00014","NMAH-AHB2012ps00014")</f>
        <v>NMAH-AHB2012ps00014</v>
      </c>
      <c r="B759" s="3" t="s">
        <v>2029</v>
      </c>
      <c r="C759" s="3">
        <v>1253093</v>
      </c>
      <c r="D759" s="3" t="s">
        <v>24</v>
      </c>
      <c r="E759" s="4" t="s">
        <v>2030</v>
      </c>
      <c r="F759" t="s">
        <v>27</v>
      </c>
      <c r="G759">
        <v>0.99275350570678711</v>
      </c>
      <c r="H759" t="s">
        <v>26</v>
      </c>
      <c r="I759">
        <v>0.99224615097045898</v>
      </c>
      <c r="J759" t="s">
        <v>70</v>
      </c>
      <c r="K759" s="4">
        <v>0.97633296251296997</v>
      </c>
      <c r="L759" t="s">
        <v>33</v>
      </c>
      <c r="M759">
        <v>0.99465214999999996</v>
      </c>
      <c r="N759" t="s">
        <v>34</v>
      </c>
      <c r="O759">
        <v>2.683885E-3</v>
      </c>
      <c r="P759" t="s">
        <v>32</v>
      </c>
      <c r="Q759" s="4">
        <v>1.3904875000000001E-3</v>
      </c>
      <c r="R759" t="s">
        <v>33</v>
      </c>
      <c r="S759">
        <v>0.93455969999999999</v>
      </c>
      <c r="T759" t="s">
        <v>34</v>
      </c>
      <c r="U759">
        <v>1.5032158E-2</v>
      </c>
      <c r="V759" t="s">
        <v>32</v>
      </c>
      <c r="W759">
        <v>1.162974E-2</v>
      </c>
    </row>
    <row r="760" spans="1:23" x14ac:dyDescent="0.25">
      <c r="A760" s="3" t="str">
        <f>HYPERLINK("http://ids.si.edu/ids/deliveryService?id=NMAH-AHB2015q025634","NMAH-AHB2015q025634")</f>
        <v>NMAH-AHB2015q025634</v>
      </c>
      <c r="B760" s="3" t="s">
        <v>2031</v>
      </c>
      <c r="C760" s="3">
        <v>1434478</v>
      </c>
      <c r="D760" s="3" t="s">
        <v>24</v>
      </c>
      <c r="E760" s="4" t="s">
        <v>163</v>
      </c>
      <c r="F760" t="s">
        <v>27</v>
      </c>
      <c r="G760">
        <v>0.99275350570678711</v>
      </c>
      <c r="H760" t="s">
        <v>26</v>
      </c>
      <c r="I760">
        <v>0.99245905876159668</v>
      </c>
      <c r="J760" t="s">
        <v>28</v>
      </c>
      <c r="K760" s="4">
        <v>0.98362219333648682</v>
      </c>
      <c r="L760" t="s">
        <v>33</v>
      </c>
      <c r="M760">
        <v>0.56897200000000003</v>
      </c>
      <c r="N760" t="s">
        <v>34</v>
      </c>
      <c r="O760">
        <v>0.33254820000000002</v>
      </c>
      <c r="P760" t="s">
        <v>32</v>
      </c>
      <c r="Q760" s="4">
        <v>9.4051759999999998E-2</v>
      </c>
      <c r="R760" t="s">
        <v>34</v>
      </c>
      <c r="S760">
        <v>0.47690606000000002</v>
      </c>
      <c r="T760" t="s">
        <v>32</v>
      </c>
      <c r="U760">
        <v>0.31182387</v>
      </c>
      <c r="V760" t="s">
        <v>33</v>
      </c>
      <c r="W760">
        <v>0.20026088</v>
      </c>
    </row>
    <row r="761" spans="1:23" x14ac:dyDescent="0.25">
      <c r="A761" s="3" t="str">
        <f>HYPERLINK("http://ids.si.edu/ids/deliveryService?id=NMAH-AHB2014q019180","NMAH-AHB2014q019180")</f>
        <v>NMAH-AHB2014q019180</v>
      </c>
      <c r="B761" s="3" t="s">
        <v>2032</v>
      </c>
      <c r="C761" s="3">
        <v>1452085</v>
      </c>
      <c r="D761" s="3" t="s">
        <v>24</v>
      </c>
      <c r="E761" s="4" t="s">
        <v>59</v>
      </c>
      <c r="F761" t="s">
        <v>61</v>
      </c>
      <c r="G761">
        <v>0.96102803945541382</v>
      </c>
      <c r="H761" t="s">
        <v>60</v>
      </c>
      <c r="I761">
        <v>0.95888090133666992</v>
      </c>
      <c r="J761" t="s">
        <v>112</v>
      </c>
      <c r="K761" s="4">
        <v>0.85578519105911255</v>
      </c>
      <c r="L761" t="s">
        <v>29</v>
      </c>
      <c r="M761">
        <v>0.22293703000000001</v>
      </c>
      <c r="N761" t="s">
        <v>2033</v>
      </c>
      <c r="O761">
        <v>7.3452815000000005E-2</v>
      </c>
      <c r="P761" t="s">
        <v>376</v>
      </c>
      <c r="Q761" s="4">
        <v>6.2106005999999998E-2</v>
      </c>
      <c r="R761" t="s">
        <v>29</v>
      </c>
      <c r="S761">
        <v>0.7991083000000001</v>
      </c>
      <c r="T761" t="s">
        <v>144</v>
      </c>
      <c r="U761">
        <v>1.9765863000000002E-2</v>
      </c>
      <c r="V761" t="s">
        <v>67</v>
      </c>
      <c r="W761">
        <v>1.3429325000000001E-2</v>
      </c>
    </row>
    <row r="762" spans="1:23" x14ac:dyDescent="0.25">
      <c r="A762" s="3" t="str">
        <f>HYPERLINK("http://ids.si.edu/ids/deliveryService?id=NMAH-AHB2014q019192","NMAH-AHB2014q019192")</f>
        <v>NMAH-AHB2014q019192</v>
      </c>
      <c r="B762" s="3" t="s">
        <v>2034</v>
      </c>
      <c r="C762" s="3">
        <v>1452078</v>
      </c>
      <c r="D762" s="3" t="s">
        <v>24</v>
      </c>
      <c r="E762" s="4" t="s">
        <v>59</v>
      </c>
      <c r="F762" t="s">
        <v>1985</v>
      </c>
      <c r="G762">
        <v>0.96134203672409058</v>
      </c>
      <c r="H762" t="s">
        <v>60</v>
      </c>
      <c r="I762">
        <v>0.95274853706359863</v>
      </c>
      <c r="J762" t="s">
        <v>61</v>
      </c>
      <c r="K762" s="4">
        <v>0.9511113166809082</v>
      </c>
      <c r="L762" t="s">
        <v>66</v>
      </c>
      <c r="M762">
        <v>0.15864444</v>
      </c>
      <c r="N762" t="s">
        <v>29</v>
      </c>
      <c r="O762">
        <v>0.15652740000000001</v>
      </c>
      <c r="P762" t="s">
        <v>65</v>
      </c>
      <c r="Q762" s="4">
        <v>9.6368739999999994E-2</v>
      </c>
      <c r="R762" t="s">
        <v>29</v>
      </c>
      <c r="S762">
        <v>0.60147952999999998</v>
      </c>
      <c r="T762" t="s">
        <v>66</v>
      </c>
      <c r="U762">
        <v>8.7339710000000001E-2</v>
      </c>
      <c r="V762" t="s">
        <v>65</v>
      </c>
      <c r="W762">
        <v>3.447952E-2</v>
      </c>
    </row>
    <row r="763" spans="1:23" x14ac:dyDescent="0.25">
      <c r="A763" s="3" t="str">
        <f>HYPERLINK("http://ids.si.edu/ids/deliveryService?id=NMAH-AHB2016q066744","NMAH-AHB2016q066744")</f>
        <v>NMAH-AHB2016q066744</v>
      </c>
      <c r="B763" s="3" t="s">
        <v>2035</v>
      </c>
      <c r="C763" s="3">
        <v>1695613</v>
      </c>
      <c r="D763" s="3" t="s">
        <v>24</v>
      </c>
      <c r="E763" s="4" t="s">
        <v>2036</v>
      </c>
      <c r="L763" t="s">
        <v>1151</v>
      </c>
      <c r="M763">
        <v>0.93937569999999992</v>
      </c>
      <c r="N763" t="s">
        <v>482</v>
      </c>
      <c r="O763">
        <v>1.5246918E-2</v>
      </c>
      <c r="P763" t="s">
        <v>191</v>
      </c>
      <c r="Q763" s="4">
        <v>1.4754892E-2</v>
      </c>
      <c r="R763" t="s">
        <v>191</v>
      </c>
      <c r="S763">
        <v>0.16394897999999999</v>
      </c>
      <c r="T763" t="s">
        <v>93</v>
      </c>
      <c r="U763">
        <v>0.11358093499999999</v>
      </c>
      <c r="V763" t="s">
        <v>1151</v>
      </c>
      <c r="W763">
        <v>6.9365499999999997E-2</v>
      </c>
    </row>
    <row r="764" spans="1:23" x14ac:dyDescent="0.25">
      <c r="A764" s="3" t="str">
        <f>HYPERLINK("http://ids.si.edu/ids/deliveryService?id=NMAH-ET2010-31507-000003","NMAH-ET2010-31507-000003")</f>
        <v>NMAH-ET2010-31507-000003</v>
      </c>
      <c r="B764" s="3" t="s">
        <v>2037</v>
      </c>
      <c r="C764" s="3">
        <v>438534</v>
      </c>
      <c r="D764" s="3" t="s">
        <v>24</v>
      </c>
      <c r="E764" s="4" t="s">
        <v>2038</v>
      </c>
      <c r="F764" t="s">
        <v>26</v>
      </c>
      <c r="G764">
        <v>0.99189597368240356</v>
      </c>
      <c r="H764" t="s">
        <v>28</v>
      </c>
      <c r="I764">
        <v>0.98577523231506348</v>
      </c>
      <c r="J764" t="s">
        <v>27</v>
      </c>
      <c r="K764" s="4">
        <v>0.98028391599655151</v>
      </c>
      <c r="L764" t="s">
        <v>33</v>
      </c>
      <c r="M764">
        <v>0.86595624999999998</v>
      </c>
      <c r="N764" t="s">
        <v>32</v>
      </c>
      <c r="O764">
        <v>0.13220224999999999</v>
      </c>
      <c r="P764" t="s">
        <v>72</v>
      </c>
      <c r="Q764" s="4">
        <v>6.3930417000000002E-4</v>
      </c>
      <c r="R764" t="s">
        <v>33</v>
      </c>
      <c r="S764">
        <v>0.106356405</v>
      </c>
      <c r="T764" t="s">
        <v>35</v>
      </c>
      <c r="U764">
        <v>0.10499028000000001</v>
      </c>
      <c r="V764" t="s">
        <v>87</v>
      </c>
      <c r="W764">
        <v>9.5899990000000004E-2</v>
      </c>
    </row>
    <row r="765" spans="1:23" x14ac:dyDescent="0.25">
      <c r="A765" s="3" t="str">
        <f>HYPERLINK("http://ids.si.edu/ids/deliveryService?id=NMAH-JN2013-1417","NMAH-JN2013-1417")</f>
        <v>NMAH-JN2013-1417</v>
      </c>
      <c r="B765" s="3" t="s">
        <v>2039</v>
      </c>
      <c r="C765" s="3">
        <v>1419450</v>
      </c>
      <c r="D765" s="3" t="s">
        <v>24</v>
      </c>
      <c r="E765" s="4" t="s">
        <v>2040</v>
      </c>
      <c r="F765" t="s">
        <v>101</v>
      </c>
      <c r="G765">
        <v>0.96513432264328003</v>
      </c>
      <c r="H765" t="s">
        <v>2041</v>
      </c>
      <c r="I765">
        <v>0.96421647071838379</v>
      </c>
      <c r="J765" t="s">
        <v>201</v>
      </c>
      <c r="K765" s="4">
        <v>0.93542337417602539</v>
      </c>
      <c r="L765" t="s">
        <v>104</v>
      </c>
      <c r="M765">
        <v>0.94815105</v>
      </c>
      <c r="N765" t="s">
        <v>107</v>
      </c>
      <c r="O765">
        <v>4.8623193000000002E-2</v>
      </c>
      <c r="P765" t="s">
        <v>34</v>
      </c>
      <c r="Q765" s="4">
        <v>1.8297634E-3</v>
      </c>
      <c r="R765" t="s">
        <v>104</v>
      </c>
      <c r="S765">
        <v>0.80089045000000003</v>
      </c>
      <c r="T765" t="s">
        <v>107</v>
      </c>
      <c r="U765">
        <v>0.15849745000000001</v>
      </c>
      <c r="V765" t="s">
        <v>166</v>
      </c>
      <c r="W765">
        <v>3.1570304E-2</v>
      </c>
    </row>
    <row r="766" spans="1:23" x14ac:dyDescent="0.25">
      <c r="A766" s="3" t="str">
        <f>HYPERLINK("http://ids.si.edu/ids/deliveryService?id=NMAH-AHB2014q019204","NMAH-AHB2014q019204")</f>
        <v>NMAH-AHB2014q019204</v>
      </c>
      <c r="B766" s="3" t="s">
        <v>2042</v>
      </c>
      <c r="C766" s="3">
        <v>1452072</v>
      </c>
      <c r="D766" s="3" t="s">
        <v>24</v>
      </c>
      <c r="E766" s="4" t="s">
        <v>59</v>
      </c>
      <c r="F766" t="s">
        <v>61</v>
      </c>
      <c r="G766">
        <v>0.97334247827529907</v>
      </c>
      <c r="H766" t="s">
        <v>60</v>
      </c>
      <c r="I766">
        <v>0.95140302181243896</v>
      </c>
      <c r="J766" t="s">
        <v>112</v>
      </c>
      <c r="K766" s="4">
        <v>0.94109028577804565</v>
      </c>
      <c r="L766" t="s">
        <v>66</v>
      </c>
      <c r="M766">
        <v>0.15454894</v>
      </c>
      <c r="N766" t="s">
        <v>29</v>
      </c>
      <c r="O766">
        <v>0.15438548999999999</v>
      </c>
      <c r="P766" t="s">
        <v>65</v>
      </c>
      <c r="Q766" s="4">
        <v>0.14394868999999999</v>
      </c>
      <c r="R766" t="s">
        <v>29</v>
      </c>
      <c r="S766">
        <v>0.22262657</v>
      </c>
      <c r="T766" t="s">
        <v>66</v>
      </c>
      <c r="U766">
        <v>0.15252631999999999</v>
      </c>
      <c r="V766" t="s">
        <v>65</v>
      </c>
      <c r="W766">
        <v>6.3471749999999993E-2</v>
      </c>
    </row>
    <row r="767" spans="1:23" x14ac:dyDescent="0.25">
      <c r="A767" s="3" t="str">
        <f>HYPERLINK("http://ids.si.edu/ids/deliveryService?id=NMAH-JN2014-3136","NMAH-JN2014-3136")</f>
        <v>NMAH-JN2014-3136</v>
      </c>
      <c r="B767" s="3" t="s">
        <v>2043</v>
      </c>
      <c r="C767" s="3">
        <v>446364</v>
      </c>
      <c r="D767" s="3" t="s">
        <v>24</v>
      </c>
      <c r="E767" s="4" t="s">
        <v>100</v>
      </c>
      <c r="F767" t="s">
        <v>101</v>
      </c>
      <c r="G767">
        <v>0.97602266073226929</v>
      </c>
      <c r="H767" t="s">
        <v>103</v>
      </c>
      <c r="I767">
        <v>0.94286751747131348</v>
      </c>
      <c r="J767" t="s">
        <v>201</v>
      </c>
      <c r="K767" s="4">
        <v>0.88046640157699585</v>
      </c>
      <c r="L767" t="s">
        <v>104</v>
      </c>
      <c r="M767">
        <v>0.33681991999999999</v>
      </c>
      <c r="N767" t="s">
        <v>123</v>
      </c>
      <c r="O767">
        <v>0.21617822</v>
      </c>
      <c r="P767" t="s">
        <v>166</v>
      </c>
      <c r="Q767" s="4">
        <v>0.1937739</v>
      </c>
      <c r="R767" t="s">
        <v>135</v>
      </c>
      <c r="S767">
        <v>0.51417977000000004</v>
      </c>
      <c r="T767" t="s">
        <v>294</v>
      </c>
      <c r="U767">
        <v>0.13818401</v>
      </c>
      <c r="V767" t="s">
        <v>2044</v>
      </c>
      <c r="W767">
        <v>3.8855041999999999E-2</v>
      </c>
    </row>
    <row r="768" spans="1:23" x14ac:dyDescent="0.25">
      <c r="A768" s="3" t="str">
        <f>HYPERLINK("http://ids.si.edu/ids/deliveryService?id=NMAH-ET2010-28700-000003","NMAH-ET2010-28700-000003")</f>
        <v>NMAH-ET2010-28700-000003</v>
      </c>
      <c r="B768" s="3" t="s">
        <v>2045</v>
      </c>
      <c r="C768" s="3">
        <v>438594</v>
      </c>
      <c r="D768" s="3" t="s">
        <v>24</v>
      </c>
      <c r="E768" s="4" t="s">
        <v>25</v>
      </c>
      <c r="F768" t="s">
        <v>26</v>
      </c>
      <c r="G768">
        <v>0.98803436756134033</v>
      </c>
      <c r="H768" t="s">
        <v>28</v>
      </c>
      <c r="I768">
        <v>0.97662854194641113</v>
      </c>
      <c r="J768" t="s">
        <v>27</v>
      </c>
      <c r="K768" s="4">
        <v>0.93091857433319092</v>
      </c>
      <c r="L768" t="s">
        <v>32</v>
      </c>
      <c r="M768">
        <v>0.51974284999999998</v>
      </c>
      <c r="N768" t="s">
        <v>33</v>
      </c>
      <c r="O768">
        <v>0.47820170000000001</v>
      </c>
      <c r="P768" t="s">
        <v>34</v>
      </c>
      <c r="Q768" s="4">
        <v>1.7141162E-3</v>
      </c>
      <c r="R768" t="s">
        <v>87</v>
      </c>
      <c r="S768">
        <v>0.28310400000000002</v>
      </c>
      <c r="T768" t="s">
        <v>33</v>
      </c>
      <c r="U768">
        <v>0.17540415000000001</v>
      </c>
      <c r="V768" t="s">
        <v>32</v>
      </c>
      <c r="W768">
        <v>0.1360055</v>
      </c>
    </row>
    <row r="769" spans="1:23" x14ac:dyDescent="0.25">
      <c r="A769" s="3" t="str">
        <f>HYPERLINK("http://ids.si.edu/ids/deliveryService?id=NMAH-ET2010-31547-000003","NMAH-ET2010-31547-000003")</f>
        <v>NMAH-ET2010-31547-000003</v>
      </c>
      <c r="B769" s="3" t="s">
        <v>2046</v>
      </c>
      <c r="C769" s="3">
        <v>1057598</v>
      </c>
      <c r="D769" s="3" t="s">
        <v>24</v>
      </c>
      <c r="E769" s="4" t="s">
        <v>2038</v>
      </c>
      <c r="F769" t="s">
        <v>26</v>
      </c>
      <c r="G769">
        <v>0.99235647916793823</v>
      </c>
      <c r="H769" t="s">
        <v>27</v>
      </c>
      <c r="I769">
        <v>0.98987752199172974</v>
      </c>
      <c r="J769" t="s">
        <v>28</v>
      </c>
      <c r="K769" s="4">
        <v>0.98159658908843994</v>
      </c>
      <c r="L769" t="s">
        <v>33</v>
      </c>
      <c r="M769">
        <v>0.94891890000000001</v>
      </c>
      <c r="N769" t="s">
        <v>32</v>
      </c>
      <c r="O769">
        <v>4.6552534999999999E-2</v>
      </c>
      <c r="P769" t="s">
        <v>34</v>
      </c>
      <c r="Q769" s="4">
        <v>3.0072787999999998E-3</v>
      </c>
      <c r="R769" t="s">
        <v>33</v>
      </c>
      <c r="S769">
        <v>0.61177329999999996</v>
      </c>
      <c r="T769" t="s">
        <v>53</v>
      </c>
      <c r="U769">
        <v>0.15504207</v>
      </c>
      <c r="V769" t="s">
        <v>32</v>
      </c>
      <c r="W769">
        <v>8.6696856000000003E-2</v>
      </c>
    </row>
    <row r="770" spans="1:23" x14ac:dyDescent="0.25">
      <c r="A770" s="3" t="str">
        <f>HYPERLINK("http://ids.si.edu/ids/deliveryService?id=NMAH-ET2010-27513-000002","NMAH-ET2010-27513-000002")</f>
        <v>NMAH-ET2010-27513-000002</v>
      </c>
      <c r="B770" s="3" t="s">
        <v>2047</v>
      </c>
      <c r="C770" s="3">
        <v>414341</v>
      </c>
      <c r="D770" s="3" t="s">
        <v>24</v>
      </c>
      <c r="E770" s="4" t="s">
        <v>1962</v>
      </c>
      <c r="F770" t="s">
        <v>26</v>
      </c>
      <c r="G770">
        <v>0.9910082221031189</v>
      </c>
      <c r="H770" t="s">
        <v>56</v>
      </c>
      <c r="I770">
        <v>0.9884641170501709</v>
      </c>
      <c r="J770" t="s">
        <v>27</v>
      </c>
      <c r="K770" s="4">
        <v>0.9673086404800415</v>
      </c>
      <c r="L770" t="s">
        <v>32</v>
      </c>
      <c r="M770">
        <v>0.90823405999999995</v>
      </c>
      <c r="N770" t="s">
        <v>34</v>
      </c>
      <c r="O770">
        <v>8.5644299999999993E-2</v>
      </c>
      <c r="P770" t="s">
        <v>33</v>
      </c>
      <c r="Q770" s="4">
        <v>1.1763558999999999E-3</v>
      </c>
      <c r="R770" t="s">
        <v>32</v>
      </c>
      <c r="S770">
        <v>0.58209580000000005</v>
      </c>
      <c r="T770" t="s">
        <v>34</v>
      </c>
      <c r="U770">
        <v>0.37677454999999999</v>
      </c>
      <c r="V770" t="s">
        <v>245</v>
      </c>
      <c r="W770">
        <v>1.3789714999999999E-2</v>
      </c>
    </row>
    <row r="771" spans="1:23" x14ac:dyDescent="0.25">
      <c r="A771" s="3" t="str">
        <f>HYPERLINK("http://ids.si.edu/ids/deliveryService?id=NMAH-JN2014-5004","NMAH-JN2014-5004")</f>
        <v>NMAH-JN2014-5004</v>
      </c>
      <c r="B771" s="3" t="s">
        <v>2048</v>
      </c>
      <c r="C771" s="3">
        <v>457582</v>
      </c>
      <c r="D771" s="3" t="s">
        <v>24</v>
      </c>
      <c r="E771" s="4" t="s">
        <v>360</v>
      </c>
      <c r="F771" t="s">
        <v>101</v>
      </c>
      <c r="G771">
        <v>0.95164680480957031</v>
      </c>
      <c r="H771" t="s">
        <v>272</v>
      </c>
      <c r="I771">
        <v>0.94723761081695557</v>
      </c>
      <c r="J771" t="s">
        <v>361</v>
      </c>
      <c r="K771" s="4">
        <v>0.78725516796112061</v>
      </c>
      <c r="L771" t="s">
        <v>123</v>
      </c>
      <c r="M771">
        <v>0.78305230000000003</v>
      </c>
      <c r="N771" t="s">
        <v>122</v>
      </c>
      <c r="O771">
        <v>0.13361524</v>
      </c>
      <c r="P771" t="s">
        <v>121</v>
      </c>
      <c r="Q771" s="4">
        <v>4.123856E-2</v>
      </c>
      <c r="R771" t="s">
        <v>123</v>
      </c>
      <c r="S771">
        <v>0.56967723000000003</v>
      </c>
      <c r="T771" t="s">
        <v>121</v>
      </c>
      <c r="U771">
        <v>3.6660239999999997E-2</v>
      </c>
      <c r="V771" t="s">
        <v>303</v>
      </c>
      <c r="W771">
        <v>3.1101096000000002E-2</v>
      </c>
    </row>
    <row r="772" spans="1:23" x14ac:dyDescent="0.25">
      <c r="A772" s="3" t="str">
        <f>HYPERLINK("http://ids.si.edu/ids/deliveryService?id=NMAH-ET2012-13918","NMAH-ET2012-13918")</f>
        <v>NMAH-ET2012-13918</v>
      </c>
      <c r="B772" s="3" t="s">
        <v>2049</v>
      </c>
      <c r="C772" s="3">
        <v>416523</v>
      </c>
      <c r="D772" s="3" t="s">
        <v>24</v>
      </c>
      <c r="E772" s="4" t="s">
        <v>2050</v>
      </c>
      <c r="F772" t="s">
        <v>56</v>
      </c>
      <c r="G772">
        <v>0.9731978178024292</v>
      </c>
      <c r="H772" t="s">
        <v>26</v>
      </c>
      <c r="I772">
        <v>0.9728163480758667</v>
      </c>
      <c r="J772" t="s">
        <v>27</v>
      </c>
      <c r="K772" s="4">
        <v>0.94160568714141846</v>
      </c>
      <c r="L772" t="s">
        <v>32</v>
      </c>
      <c r="M772">
        <v>0.11044523000000001</v>
      </c>
      <c r="N772" t="s">
        <v>2051</v>
      </c>
      <c r="O772">
        <v>9.6513613999999998E-2</v>
      </c>
      <c r="P772" t="s">
        <v>159</v>
      </c>
      <c r="Q772" s="4">
        <v>4.8959694999999998E-2</v>
      </c>
      <c r="R772" t="s">
        <v>2051</v>
      </c>
      <c r="S772">
        <v>0.12595790000000001</v>
      </c>
      <c r="T772" t="s">
        <v>82</v>
      </c>
      <c r="U772">
        <v>9.7241014000000001E-2</v>
      </c>
      <c r="V772" t="s">
        <v>185</v>
      </c>
      <c r="W772">
        <v>7.3890259999999999E-2</v>
      </c>
    </row>
    <row r="773" spans="1:23" x14ac:dyDescent="0.25">
      <c r="A773" s="3" t="str">
        <f>HYPERLINK("http://ids.si.edu/ids/deliveryService?id=NMAH-ET2012-13945","NMAH-ET2012-13945")</f>
        <v>NMAH-ET2012-13945</v>
      </c>
      <c r="B773" s="3" t="s">
        <v>2052</v>
      </c>
      <c r="C773" s="3">
        <v>417862</v>
      </c>
      <c r="D773" s="3" t="s">
        <v>24</v>
      </c>
      <c r="E773" s="4" t="s">
        <v>2053</v>
      </c>
      <c r="F773" t="s">
        <v>56</v>
      </c>
      <c r="G773">
        <v>0.93117117881774902</v>
      </c>
      <c r="H773" t="s">
        <v>26</v>
      </c>
      <c r="I773">
        <v>0.91112667322158813</v>
      </c>
      <c r="J773" t="s">
        <v>27</v>
      </c>
      <c r="K773" s="4">
        <v>0.79033768177032471</v>
      </c>
      <c r="L773" t="s">
        <v>32</v>
      </c>
      <c r="M773">
        <v>0.3651375</v>
      </c>
      <c r="N773" t="s">
        <v>34</v>
      </c>
      <c r="O773">
        <v>0.12174529000000001</v>
      </c>
      <c r="P773" t="s">
        <v>245</v>
      </c>
      <c r="Q773" s="4">
        <v>5.0988409999999998E-2</v>
      </c>
      <c r="R773" t="s">
        <v>82</v>
      </c>
      <c r="S773">
        <v>0.24784893999999999</v>
      </c>
      <c r="T773" t="s">
        <v>32</v>
      </c>
      <c r="U773">
        <v>0.16768875999999999</v>
      </c>
      <c r="V773" t="s">
        <v>214</v>
      </c>
      <c r="W773">
        <v>0.10666501</v>
      </c>
    </row>
    <row r="774" spans="1:23" x14ac:dyDescent="0.25">
      <c r="A774" s="3" t="str">
        <f>HYPERLINK("http://ids.si.edu/ids/deliveryService?id=NMAH-ET2013-16803","NMAH-ET2013-16803")</f>
        <v>NMAH-ET2013-16803</v>
      </c>
      <c r="B774" s="3" t="s">
        <v>2054</v>
      </c>
      <c r="C774" s="3">
        <v>457578</v>
      </c>
      <c r="D774" s="3" t="s">
        <v>24</v>
      </c>
      <c r="E774" s="4" t="s">
        <v>2055</v>
      </c>
      <c r="F774" t="s">
        <v>361</v>
      </c>
      <c r="G774">
        <v>0.72271746397018433</v>
      </c>
      <c r="H774" t="s">
        <v>188</v>
      </c>
      <c r="I774">
        <v>0.6996912956237793</v>
      </c>
      <c r="J774" t="s">
        <v>917</v>
      </c>
      <c r="K774" s="4">
        <v>0.67819291353225708</v>
      </c>
      <c r="L774" t="s">
        <v>580</v>
      </c>
      <c r="M774">
        <v>0.68164813999999996</v>
      </c>
      <c r="N774" t="s">
        <v>585</v>
      </c>
      <c r="O774">
        <v>0.23212288</v>
      </c>
      <c r="P774" t="s">
        <v>86</v>
      </c>
      <c r="Q774" s="4">
        <v>2.8448250000000001E-2</v>
      </c>
      <c r="R774" t="s">
        <v>86</v>
      </c>
      <c r="S774">
        <v>0.29203499999999999</v>
      </c>
      <c r="T774" t="s">
        <v>628</v>
      </c>
      <c r="U774">
        <v>0.12806728000000001</v>
      </c>
      <c r="V774" t="s">
        <v>586</v>
      </c>
      <c r="W774">
        <v>8.2522200000000004E-2</v>
      </c>
    </row>
    <row r="775" spans="1:23" x14ac:dyDescent="0.25">
      <c r="A775" s="3" t="str">
        <f>HYPERLINK("http://ids.si.edu/ids/deliveryService?id=NMAH-ET2013-15665","NMAH-ET2013-15665")</f>
        <v>NMAH-ET2013-15665</v>
      </c>
      <c r="B775" s="3" t="s">
        <v>2056</v>
      </c>
      <c r="C775" s="3">
        <v>419472</v>
      </c>
      <c r="D775" s="3" t="s">
        <v>24</v>
      </c>
      <c r="E775" s="4" t="s">
        <v>86</v>
      </c>
      <c r="F775" t="s">
        <v>91</v>
      </c>
      <c r="G775">
        <v>0.88283330202102661</v>
      </c>
      <c r="H775" t="s">
        <v>50</v>
      </c>
      <c r="I775">
        <v>0.69359874725341797</v>
      </c>
      <c r="J775" t="s">
        <v>2057</v>
      </c>
      <c r="K775" s="4">
        <v>0.68713349103927612</v>
      </c>
      <c r="L775" t="s">
        <v>30</v>
      </c>
      <c r="M775">
        <v>0.45106488</v>
      </c>
      <c r="N775" t="s">
        <v>821</v>
      </c>
      <c r="O775">
        <v>0.10607003</v>
      </c>
      <c r="P775" t="s">
        <v>1168</v>
      </c>
      <c r="Q775" s="4">
        <v>5.8343217000000003E-2</v>
      </c>
      <c r="R775" t="s">
        <v>213</v>
      </c>
      <c r="S775">
        <v>0.18867128999999999</v>
      </c>
      <c r="T775" t="s">
        <v>1013</v>
      </c>
      <c r="U775">
        <v>8.4544229999999998E-2</v>
      </c>
      <c r="V775" t="s">
        <v>389</v>
      </c>
      <c r="W775">
        <v>6.8881970000000001E-2</v>
      </c>
    </row>
    <row r="776" spans="1:23" x14ac:dyDescent="0.25">
      <c r="A776" s="3" t="str">
        <f>HYPERLINK("http://ids.si.edu/ids/deliveryService?id=NMAH-ET2013-16549-000002","NMAH-ET2013-16549-000002")</f>
        <v>NMAH-ET2013-16549-000002</v>
      </c>
      <c r="B776" s="3" t="s">
        <v>2058</v>
      </c>
      <c r="C776" s="3">
        <v>420464</v>
      </c>
      <c r="D776" s="3" t="s">
        <v>24</v>
      </c>
      <c r="E776" s="4" t="s">
        <v>309</v>
      </c>
      <c r="F776" t="s">
        <v>132</v>
      </c>
      <c r="G776">
        <v>0.89360731840133667</v>
      </c>
      <c r="H776" t="s">
        <v>50</v>
      </c>
      <c r="I776">
        <v>0.81503552198410034</v>
      </c>
      <c r="J776" t="s">
        <v>1461</v>
      </c>
      <c r="K776" s="4">
        <v>0.80014848709106445</v>
      </c>
      <c r="L776" t="s">
        <v>149</v>
      </c>
      <c r="M776">
        <v>5.5318594000000013E-2</v>
      </c>
      <c r="N776" t="s">
        <v>87</v>
      </c>
      <c r="O776">
        <v>5.5239410000000003E-2</v>
      </c>
      <c r="P776" t="s">
        <v>175</v>
      </c>
      <c r="Q776" s="4">
        <v>2.9625418000000001E-2</v>
      </c>
      <c r="R776" t="s">
        <v>523</v>
      </c>
      <c r="S776">
        <v>9.293593E-2</v>
      </c>
      <c r="T776" t="s">
        <v>261</v>
      </c>
      <c r="U776">
        <v>7.367833E-2</v>
      </c>
      <c r="V776" t="s">
        <v>369</v>
      </c>
      <c r="W776">
        <v>7.1211204E-2</v>
      </c>
    </row>
    <row r="777" spans="1:23" x14ac:dyDescent="0.25">
      <c r="A777" s="3" t="str">
        <f>HYPERLINK("http://ids.si.edu/ids/deliveryService?id=NMAH-ET2013-16823","NMAH-ET2013-16823")</f>
        <v>NMAH-ET2013-16823</v>
      </c>
      <c r="B777" s="3" t="s">
        <v>2059</v>
      </c>
      <c r="C777" s="3">
        <v>438732</v>
      </c>
      <c r="D777" s="3" t="s">
        <v>24</v>
      </c>
      <c r="E777" s="4" t="s">
        <v>137</v>
      </c>
      <c r="F777" t="s">
        <v>1949</v>
      </c>
      <c r="G777">
        <v>0.88897258043289185</v>
      </c>
      <c r="H777" t="s">
        <v>139</v>
      </c>
      <c r="I777">
        <v>0.85484576225280762</v>
      </c>
      <c r="J777" t="s">
        <v>188</v>
      </c>
      <c r="K777" s="4">
        <v>0.73943209648132324</v>
      </c>
      <c r="L777" t="s">
        <v>245</v>
      </c>
      <c r="M777">
        <v>0.46923754000000001</v>
      </c>
      <c r="N777" t="s">
        <v>87</v>
      </c>
      <c r="O777">
        <v>0.39843959999999989</v>
      </c>
      <c r="P777" t="s">
        <v>53</v>
      </c>
      <c r="Q777" s="4">
        <v>8.5741035999999993E-2</v>
      </c>
      <c r="R777" t="s">
        <v>245</v>
      </c>
      <c r="S777">
        <v>0.39332718</v>
      </c>
      <c r="T777" t="s">
        <v>87</v>
      </c>
      <c r="U777">
        <v>0.1143396</v>
      </c>
      <c r="V777" t="s">
        <v>175</v>
      </c>
      <c r="W777">
        <v>6.9102234999999998E-2</v>
      </c>
    </row>
    <row r="778" spans="1:23" x14ac:dyDescent="0.25">
      <c r="A778" s="3" t="str">
        <f>HYPERLINK("http://ids.si.edu/ids/deliveryService?id=NMAH-AHB2017q072438","NMAH-AHB2017q072438")</f>
        <v>NMAH-AHB2017q072438</v>
      </c>
      <c r="B778" s="3" t="s">
        <v>2060</v>
      </c>
      <c r="C778" s="3">
        <v>1435444</v>
      </c>
      <c r="D778" s="3" t="s">
        <v>386</v>
      </c>
      <c r="E778" s="4" t="s">
        <v>2061</v>
      </c>
      <c r="F778" t="s">
        <v>178</v>
      </c>
      <c r="G778">
        <v>0.88378018140792847</v>
      </c>
      <c r="H778" t="s">
        <v>636</v>
      </c>
      <c r="I778">
        <v>0.82146704196929932</v>
      </c>
      <c r="J778" t="s">
        <v>256</v>
      </c>
      <c r="K778" s="4">
        <v>0.79512971639633179</v>
      </c>
      <c r="L778" t="s">
        <v>411</v>
      </c>
      <c r="M778">
        <v>0.52367520000000001</v>
      </c>
      <c r="N778" t="s">
        <v>673</v>
      </c>
      <c r="O778">
        <v>0.13064316000000001</v>
      </c>
      <c r="P778" t="s">
        <v>390</v>
      </c>
      <c r="Q778" s="4">
        <v>7.6141150000000005E-2</v>
      </c>
      <c r="R778" t="s">
        <v>673</v>
      </c>
      <c r="S778">
        <v>0.30241013</v>
      </c>
      <c r="T778" t="s">
        <v>411</v>
      </c>
      <c r="U778">
        <v>0.24855374999999999</v>
      </c>
      <c r="V778" t="s">
        <v>1338</v>
      </c>
      <c r="W778">
        <v>0.18110678999999999</v>
      </c>
    </row>
    <row r="779" spans="1:23" x14ac:dyDescent="0.25">
      <c r="A779" s="3" t="str">
        <f>HYPERLINK("http://ids.si.edu/ids/deliveryService?id=NMAH-AHB2016q048012","NMAH-AHB2016q048012")</f>
        <v>NMAH-AHB2016q048012</v>
      </c>
      <c r="B779" s="3" t="s">
        <v>2062</v>
      </c>
      <c r="C779" s="3">
        <v>1006219</v>
      </c>
      <c r="D779" s="3" t="s">
        <v>424</v>
      </c>
      <c r="E779" s="4" t="s">
        <v>1319</v>
      </c>
      <c r="F779" t="s">
        <v>543</v>
      </c>
      <c r="G779">
        <v>0.79785960912704468</v>
      </c>
      <c r="H779" t="s">
        <v>720</v>
      </c>
      <c r="I779">
        <v>0.71483975648880005</v>
      </c>
      <c r="J779" t="s">
        <v>188</v>
      </c>
      <c r="K779" s="4">
        <v>0.68536925315856934</v>
      </c>
      <c r="L779" t="s">
        <v>87</v>
      </c>
      <c r="M779">
        <v>0.12212774999999999</v>
      </c>
      <c r="N779" t="s">
        <v>33</v>
      </c>
      <c r="O779">
        <v>9.4472243999999997E-2</v>
      </c>
      <c r="P779" t="s">
        <v>83</v>
      </c>
      <c r="Q779" s="4">
        <v>8.7745464999999995E-2</v>
      </c>
      <c r="R779" t="s">
        <v>239</v>
      </c>
      <c r="S779">
        <v>0.71202314</v>
      </c>
      <c r="T779" t="s">
        <v>141</v>
      </c>
      <c r="U779">
        <v>0.13331039</v>
      </c>
      <c r="V779" t="s">
        <v>35</v>
      </c>
      <c r="W779">
        <v>1.8911471999999999E-2</v>
      </c>
    </row>
    <row r="780" spans="1:23" x14ac:dyDescent="0.25">
      <c r="A780" s="3" t="str">
        <f>HYPERLINK("http://ids.si.edu/ids/deliveryService?id=NMAH-AHB2006q22621","NMAH-AHB2006q22621")</f>
        <v>NMAH-AHB2006q22621</v>
      </c>
      <c r="B780" s="3" t="s">
        <v>2063</v>
      </c>
      <c r="C780" s="3">
        <v>668454</v>
      </c>
      <c r="D780" s="3" t="s">
        <v>424</v>
      </c>
      <c r="E780" s="4" t="s">
        <v>425</v>
      </c>
      <c r="F780" t="s">
        <v>543</v>
      </c>
      <c r="G780">
        <v>0.89174145460128784</v>
      </c>
      <c r="H780" t="s">
        <v>2064</v>
      </c>
      <c r="I780">
        <v>0.87251371145248413</v>
      </c>
      <c r="J780" t="s">
        <v>433</v>
      </c>
      <c r="K780" s="4">
        <v>0.84653949737548828</v>
      </c>
      <c r="L780" t="s">
        <v>129</v>
      </c>
      <c r="M780">
        <v>0.21016939000000001</v>
      </c>
      <c r="N780" t="s">
        <v>65</v>
      </c>
      <c r="O780">
        <v>0.199929</v>
      </c>
      <c r="P780" t="s">
        <v>152</v>
      </c>
      <c r="Q780" s="4">
        <v>0.16400711000000001</v>
      </c>
      <c r="R780" t="s">
        <v>65</v>
      </c>
      <c r="S780">
        <v>0.32267475000000001</v>
      </c>
      <c r="T780" t="s">
        <v>79</v>
      </c>
      <c r="U780">
        <v>8.2087800000000002E-2</v>
      </c>
      <c r="V780" t="s">
        <v>460</v>
      </c>
      <c r="W780">
        <v>7.2173089999999995E-2</v>
      </c>
    </row>
    <row r="781" spans="1:23" x14ac:dyDescent="0.25">
      <c r="A781" s="3" t="str">
        <f>HYPERLINK("http://ids.si.edu/ids/deliveryService?id=NMAH-88-15958","NMAH-88-15958")</f>
        <v>NMAH-88-15958</v>
      </c>
      <c r="B781" s="3" t="s">
        <v>2065</v>
      </c>
      <c r="C781" s="3">
        <v>606117</v>
      </c>
      <c r="D781" s="3" t="s">
        <v>424</v>
      </c>
      <c r="E781" s="4" t="s">
        <v>565</v>
      </c>
      <c r="F781" t="s">
        <v>2066</v>
      </c>
      <c r="G781">
        <v>0.98730677366256714</v>
      </c>
      <c r="H781" t="s">
        <v>433</v>
      </c>
      <c r="I781">
        <v>0.98715680837631226</v>
      </c>
      <c r="J781" t="s">
        <v>2067</v>
      </c>
      <c r="K781" s="4">
        <v>0.97685182094573975</v>
      </c>
      <c r="L781" t="s">
        <v>481</v>
      </c>
      <c r="M781">
        <v>0.76115363999999996</v>
      </c>
      <c r="N781" t="s">
        <v>182</v>
      </c>
      <c r="O781">
        <v>0.23884248999999999</v>
      </c>
      <c r="P781" t="s">
        <v>2068</v>
      </c>
      <c r="Q781" s="4">
        <v>1.3020864E-6</v>
      </c>
      <c r="R781" t="s">
        <v>481</v>
      </c>
      <c r="S781">
        <v>0.96329470000000006</v>
      </c>
      <c r="T781" t="s">
        <v>182</v>
      </c>
      <c r="U781">
        <v>3.598229E-2</v>
      </c>
      <c r="V781" t="s">
        <v>177</v>
      </c>
      <c r="W781">
        <v>2.2272154000000001E-4</v>
      </c>
    </row>
    <row r="782" spans="1:23" x14ac:dyDescent="0.25">
      <c r="A782" s="3" t="str">
        <f>HYPERLINK("http://ids.si.edu/ids/deliveryService?id=NMAH-AHB2010q66209-001","NMAH-AHB2010q66209-001")</f>
        <v>NMAH-AHB2010q66209-001</v>
      </c>
      <c r="B782" s="3" t="s">
        <v>2069</v>
      </c>
      <c r="C782" s="3">
        <v>1054212</v>
      </c>
      <c r="D782" s="3" t="s">
        <v>424</v>
      </c>
      <c r="E782" s="4" t="s">
        <v>469</v>
      </c>
      <c r="F782" t="s">
        <v>730</v>
      </c>
      <c r="G782">
        <v>0.791820228099823</v>
      </c>
      <c r="H782" t="s">
        <v>2070</v>
      </c>
      <c r="I782">
        <v>0.67594063282012939</v>
      </c>
      <c r="J782" t="s">
        <v>2071</v>
      </c>
      <c r="K782" s="4">
        <v>0.61426705121994019</v>
      </c>
      <c r="L782" t="s">
        <v>79</v>
      </c>
      <c r="M782">
        <v>0.17730965000000001</v>
      </c>
      <c r="N782" t="s">
        <v>648</v>
      </c>
      <c r="O782">
        <v>7.7153639999999996E-2</v>
      </c>
      <c r="P782" t="s">
        <v>226</v>
      </c>
      <c r="Q782" s="4">
        <v>5.8526500000000002E-2</v>
      </c>
      <c r="R782" t="s">
        <v>95</v>
      </c>
      <c r="S782">
        <v>0.28162047000000001</v>
      </c>
      <c r="T782" t="s">
        <v>93</v>
      </c>
      <c r="U782">
        <v>0.23067586000000001</v>
      </c>
      <c r="V782" t="s">
        <v>151</v>
      </c>
      <c r="W782">
        <v>7.2374835999999998E-2</v>
      </c>
    </row>
    <row r="783" spans="1:23" x14ac:dyDescent="0.25">
      <c r="A783" s="3" t="str">
        <f>HYPERLINK("http://ids.si.edu/ids/deliveryService?id=NMAH-AHB2006q25038","NMAH-AHB2006q25038")</f>
        <v>NMAH-AHB2006q25038</v>
      </c>
      <c r="B783" s="3" t="s">
        <v>2072</v>
      </c>
      <c r="C783" s="3">
        <v>1213479</v>
      </c>
      <c r="D783" s="3" t="s">
        <v>424</v>
      </c>
      <c r="E783" s="4" t="s">
        <v>425</v>
      </c>
      <c r="F783" t="s">
        <v>61</v>
      </c>
      <c r="G783">
        <v>0.94084221124649048</v>
      </c>
      <c r="H783" t="s">
        <v>112</v>
      </c>
      <c r="I783">
        <v>0.80401664972305298</v>
      </c>
      <c r="L783" t="s">
        <v>65</v>
      </c>
      <c r="M783">
        <v>0.92480390000000001</v>
      </c>
      <c r="N783" t="s">
        <v>312</v>
      </c>
      <c r="O783">
        <v>2.8741981999999999E-2</v>
      </c>
      <c r="P783" t="s">
        <v>209</v>
      </c>
      <c r="Q783" s="4">
        <v>1.3419805999999999E-2</v>
      </c>
      <c r="R783" t="s">
        <v>65</v>
      </c>
      <c r="S783">
        <v>0.63629764</v>
      </c>
      <c r="T783" t="s">
        <v>66</v>
      </c>
      <c r="U783">
        <v>7.0169620000000002E-2</v>
      </c>
      <c r="V783" t="s">
        <v>209</v>
      </c>
      <c r="W783">
        <v>6.0946286000000002E-2</v>
      </c>
    </row>
    <row r="784" spans="1:23" x14ac:dyDescent="0.25">
      <c r="A784" s="3" t="str">
        <f>HYPERLINK("http://ids.si.edu/ids/deliveryService?id=NMAH-AHB2006q23743","NMAH-AHB2006q23743")</f>
        <v>NMAH-AHB2006q23743</v>
      </c>
      <c r="B784" s="3" t="s">
        <v>2073</v>
      </c>
      <c r="C784" s="3">
        <v>664316</v>
      </c>
      <c r="D784" s="3" t="s">
        <v>424</v>
      </c>
      <c r="E784" s="4" t="s">
        <v>425</v>
      </c>
      <c r="F784" t="s">
        <v>440</v>
      </c>
      <c r="G784">
        <v>0.92831265926361084</v>
      </c>
      <c r="H784" t="s">
        <v>458</v>
      </c>
      <c r="I784">
        <v>0.59979736804962158</v>
      </c>
      <c r="J784" t="s">
        <v>607</v>
      </c>
      <c r="K784" s="4">
        <v>0.57912373542785645</v>
      </c>
      <c r="L784" t="s">
        <v>303</v>
      </c>
      <c r="M784">
        <v>0.32207742</v>
      </c>
      <c r="N784" t="s">
        <v>529</v>
      </c>
      <c r="O784">
        <v>0.11630591999999999</v>
      </c>
      <c r="P784" t="s">
        <v>51</v>
      </c>
      <c r="Q784" s="4">
        <v>5.3475343000000002E-2</v>
      </c>
      <c r="R784" t="s">
        <v>303</v>
      </c>
      <c r="S784">
        <v>0.65236205000000003</v>
      </c>
      <c r="T784" t="s">
        <v>502</v>
      </c>
      <c r="U784">
        <v>5.4829583000000001E-2</v>
      </c>
      <c r="V784" t="s">
        <v>233</v>
      </c>
      <c r="W784">
        <v>3.3591818000000002E-2</v>
      </c>
    </row>
    <row r="785" spans="1:23" x14ac:dyDescent="0.25">
      <c r="A785" s="3" t="str">
        <f>HYPERLINK("http://ids.si.edu/ids/deliveryService?id=NMAH-AHB2006q25087","NMAH-AHB2006q25087")</f>
        <v>NMAH-AHB2006q25087</v>
      </c>
      <c r="B785" s="3" t="s">
        <v>2074</v>
      </c>
      <c r="C785" s="3">
        <v>1213504</v>
      </c>
      <c r="D785" s="3" t="s">
        <v>424</v>
      </c>
      <c r="E785" s="4" t="s">
        <v>425</v>
      </c>
      <c r="F785" t="s">
        <v>2075</v>
      </c>
      <c r="G785">
        <v>0.9101104736328125</v>
      </c>
      <c r="H785" t="s">
        <v>126</v>
      </c>
      <c r="I785">
        <v>0.87293362617492676</v>
      </c>
      <c r="J785" t="s">
        <v>2076</v>
      </c>
      <c r="K785" s="4">
        <v>0.76413166522979736</v>
      </c>
      <c r="L785" t="s">
        <v>65</v>
      </c>
      <c r="M785">
        <v>0.61815052999999998</v>
      </c>
      <c r="N785" t="s">
        <v>129</v>
      </c>
      <c r="O785">
        <v>0.29417769999999999</v>
      </c>
      <c r="P785" t="s">
        <v>79</v>
      </c>
      <c r="Q785" s="4">
        <v>3.6480360000000003E-2</v>
      </c>
      <c r="R785" t="s">
        <v>65</v>
      </c>
      <c r="S785">
        <v>0.71222189999999996</v>
      </c>
      <c r="T785" t="s">
        <v>129</v>
      </c>
      <c r="U785">
        <v>8.83969E-2</v>
      </c>
      <c r="V785" t="s">
        <v>209</v>
      </c>
      <c r="W785">
        <v>2.4007661E-2</v>
      </c>
    </row>
    <row r="786" spans="1:23" x14ac:dyDescent="0.25">
      <c r="A786" s="3" t="str">
        <f>HYPERLINK("http://ids.si.edu/ids/deliveryService?id=NMAH-AHB2017q005568","NMAH-AHB2017q005568")</f>
        <v>NMAH-AHB2017q005568</v>
      </c>
      <c r="B786" s="3" t="s">
        <v>2077</v>
      </c>
      <c r="C786" s="3">
        <v>1411967</v>
      </c>
      <c r="D786" s="3" t="s">
        <v>424</v>
      </c>
      <c r="E786" s="4" t="s">
        <v>557</v>
      </c>
      <c r="F786" t="s">
        <v>2078</v>
      </c>
      <c r="G786">
        <v>0.80250203609466553</v>
      </c>
      <c r="H786" t="s">
        <v>256</v>
      </c>
      <c r="I786">
        <v>0.78474724292755127</v>
      </c>
      <c r="J786" t="s">
        <v>328</v>
      </c>
      <c r="K786" s="4">
        <v>0.64867830276489258</v>
      </c>
      <c r="L786" t="s">
        <v>151</v>
      </c>
      <c r="M786">
        <v>0.21433606999999999</v>
      </c>
      <c r="N786" t="s">
        <v>260</v>
      </c>
      <c r="O786">
        <v>0.18231140000000001</v>
      </c>
      <c r="P786" t="s">
        <v>83</v>
      </c>
      <c r="Q786" s="4">
        <v>0.16746499000000001</v>
      </c>
      <c r="R786" t="s">
        <v>141</v>
      </c>
      <c r="S786">
        <v>0.32304430000000001</v>
      </c>
      <c r="T786" t="s">
        <v>83</v>
      </c>
      <c r="U786">
        <v>0.16651414</v>
      </c>
      <c r="V786" t="s">
        <v>495</v>
      </c>
      <c r="W786">
        <v>8.1987350000000001E-2</v>
      </c>
    </row>
    <row r="787" spans="1:23" x14ac:dyDescent="0.25">
      <c r="A787" s="3" t="str">
        <f>HYPERLINK("http://ids.si.edu/ids/deliveryService?id=NMAH-AHB2019q093063","NMAH-AHB2019q093063")</f>
        <v>NMAH-AHB2019q093063</v>
      </c>
      <c r="B787" s="3" t="s">
        <v>2079</v>
      </c>
      <c r="C787" s="3">
        <v>1836311</v>
      </c>
      <c r="D787" s="3" t="s">
        <v>424</v>
      </c>
      <c r="E787" s="4" t="s">
        <v>2080</v>
      </c>
      <c r="F787" t="s">
        <v>91</v>
      </c>
      <c r="G787">
        <v>0.88283330202102661</v>
      </c>
      <c r="H787" t="s">
        <v>1774</v>
      </c>
      <c r="I787">
        <v>0.84660881757736206</v>
      </c>
      <c r="J787" t="s">
        <v>2081</v>
      </c>
      <c r="K787" s="4">
        <v>0.81791061162948608</v>
      </c>
      <c r="L787" t="s">
        <v>2082</v>
      </c>
      <c r="M787">
        <v>0.82932185999999997</v>
      </c>
      <c r="N787" t="s">
        <v>2083</v>
      </c>
      <c r="O787">
        <v>5.363921E-2</v>
      </c>
      <c r="P787" t="s">
        <v>460</v>
      </c>
      <c r="Q787" s="4">
        <v>2.0252118E-2</v>
      </c>
      <c r="R787" t="s">
        <v>377</v>
      </c>
      <c r="S787">
        <v>0.54013080000000013</v>
      </c>
      <c r="T787" t="s">
        <v>1206</v>
      </c>
      <c r="U787">
        <v>0.31761129999999999</v>
      </c>
      <c r="V787" t="s">
        <v>2084</v>
      </c>
      <c r="W787">
        <v>4.4824919999999997E-2</v>
      </c>
    </row>
    <row r="788" spans="1:23" x14ac:dyDescent="0.25">
      <c r="A788" s="3" t="str">
        <f>HYPERLINK("http://ids.si.edu/ids/deliveryService?id=NMAH-80-15898","NMAH-80-15898")</f>
        <v>NMAH-80-15898</v>
      </c>
      <c r="B788" s="3" t="s">
        <v>2085</v>
      </c>
      <c r="C788" s="3">
        <v>663670</v>
      </c>
      <c r="D788" s="3" t="s">
        <v>424</v>
      </c>
      <c r="E788" s="4" t="s">
        <v>547</v>
      </c>
      <c r="F788" t="s">
        <v>178</v>
      </c>
      <c r="G788">
        <v>0.88305658102035522</v>
      </c>
      <c r="H788" t="s">
        <v>419</v>
      </c>
      <c r="I788">
        <v>0.70750337839126587</v>
      </c>
      <c r="J788" t="s">
        <v>311</v>
      </c>
      <c r="K788" s="4">
        <v>0.65545558929443359</v>
      </c>
      <c r="L788" t="s">
        <v>1111</v>
      </c>
      <c r="M788">
        <v>0.1879044</v>
      </c>
      <c r="N788" t="s">
        <v>2086</v>
      </c>
      <c r="O788">
        <v>0.15630473</v>
      </c>
      <c r="P788" t="s">
        <v>624</v>
      </c>
      <c r="Q788" s="4">
        <v>6.7273089999999994E-2</v>
      </c>
      <c r="R788" t="s">
        <v>185</v>
      </c>
      <c r="S788">
        <v>0.2153303</v>
      </c>
      <c r="T788" t="s">
        <v>191</v>
      </c>
      <c r="U788">
        <v>0.13851221999999999</v>
      </c>
      <c r="V788" t="s">
        <v>2086</v>
      </c>
      <c r="W788">
        <v>0.13638612999999999</v>
      </c>
    </row>
    <row r="789" spans="1:23" x14ac:dyDescent="0.25">
      <c r="A789" s="3" t="str">
        <f>HYPERLINK("http://ids.si.edu/ids/deliveryService?id=NMAH-AHB2007q03012","NMAH-AHB2007q03012")</f>
        <v>NMAH-AHB2007q03012</v>
      </c>
      <c r="B789" s="3" t="s">
        <v>2087</v>
      </c>
      <c r="C789" s="3">
        <v>1317252</v>
      </c>
      <c r="D789" s="3" t="s">
        <v>424</v>
      </c>
      <c r="E789" s="4" t="s">
        <v>2088</v>
      </c>
      <c r="F789" t="s">
        <v>91</v>
      </c>
      <c r="G789">
        <v>0.88283330202102661</v>
      </c>
      <c r="H789" t="s">
        <v>196</v>
      </c>
      <c r="I789">
        <v>0.85681056976318359</v>
      </c>
      <c r="J789" t="s">
        <v>1525</v>
      </c>
      <c r="K789" s="4">
        <v>0.83527451753616333</v>
      </c>
      <c r="L789" t="s">
        <v>45</v>
      </c>
      <c r="M789">
        <v>0.55225800000000003</v>
      </c>
      <c r="N789" t="s">
        <v>108</v>
      </c>
      <c r="O789">
        <v>0.16889821999999999</v>
      </c>
      <c r="P789" t="s">
        <v>134</v>
      </c>
      <c r="Q789" s="4">
        <v>0.14582838000000001</v>
      </c>
      <c r="R789" t="s">
        <v>134</v>
      </c>
      <c r="S789">
        <v>0.3864551</v>
      </c>
      <c r="T789" t="s">
        <v>108</v>
      </c>
      <c r="U789">
        <v>0.1307693</v>
      </c>
      <c r="V789" t="s">
        <v>107</v>
      </c>
      <c r="W789">
        <v>8.1608800000000009E-2</v>
      </c>
    </row>
    <row r="790" spans="1:23" x14ac:dyDescent="0.25">
      <c r="A790" s="3" t="str">
        <f>HYPERLINK("http://ids.si.edu/ids/deliveryService?id=NMAH-AHB2018q013589","NMAH-AHB2018q013589")</f>
        <v>NMAH-AHB2018q013589</v>
      </c>
      <c r="B790" s="3" t="s">
        <v>2089</v>
      </c>
      <c r="C790" s="3">
        <v>1835415</v>
      </c>
      <c r="D790" s="3" t="s">
        <v>424</v>
      </c>
      <c r="E790" s="4" t="s">
        <v>2080</v>
      </c>
      <c r="F790" t="s">
        <v>61</v>
      </c>
      <c r="G790">
        <v>0.96102803945541382</v>
      </c>
      <c r="H790" t="s">
        <v>112</v>
      </c>
      <c r="I790">
        <v>0.81951183080673218</v>
      </c>
      <c r="J790" t="s">
        <v>220</v>
      </c>
      <c r="K790" s="4">
        <v>0.73426347970962524</v>
      </c>
      <c r="L790" t="s">
        <v>65</v>
      </c>
      <c r="M790">
        <v>0.40420620000000002</v>
      </c>
      <c r="N790" t="s">
        <v>426</v>
      </c>
      <c r="O790">
        <v>0.19020577999999999</v>
      </c>
      <c r="P790" t="s">
        <v>29</v>
      </c>
      <c r="Q790" s="4">
        <v>0.13676108000000001</v>
      </c>
      <c r="R790" t="s">
        <v>29</v>
      </c>
      <c r="S790">
        <v>0.19052053999999999</v>
      </c>
      <c r="T790" t="s">
        <v>260</v>
      </c>
      <c r="U790">
        <v>0.15298416000000001</v>
      </c>
      <c r="V790" t="s">
        <v>398</v>
      </c>
      <c r="W790">
        <v>0.12863123000000001</v>
      </c>
    </row>
    <row r="791" spans="1:23" x14ac:dyDescent="0.25">
      <c r="A791" s="3" t="str">
        <f>HYPERLINK("http://ids.si.edu/ids/deliveryService?id=NMAH-RWS2016-09255","NMAH-RWS2016-09255")</f>
        <v>NMAH-RWS2016-09255</v>
      </c>
      <c r="B791" s="3" t="s">
        <v>2090</v>
      </c>
      <c r="C791" s="3">
        <v>361310</v>
      </c>
      <c r="D791" s="3" t="s">
        <v>424</v>
      </c>
      <c r="E791" s="4" t="s">
        <v>2091</v>
      </c>
      <c r="F791" t="s">
        <v>101</v>
      </c>
      <c r="G791">
        <v>0.95580762624740601</v>
      </c>
      <c r="H791" t="s">
        <v>1083</v>
      </c>
      <c r="I791">
        <v>0.94710272550582886</v>
      </c>
      <c r="J791" t="s">
        <v>292</v>
      </c>
      <c r="K791" s="4">
        <v>0.93641203641891479</v>
      </c>
      <c r="L791" t="s">
        <v>294</v>
      </c>
      <c r="M791">
        <v>0.62255300000000002</v>
      </c>
      <c r="N791" t="s">
        <v>888</v>
      </c>
      <c r="O791">
        <v>5.6924099999999998E-2</v>
      </c>
      <c r="P791" t="s">
        <v>202</v>
      </c>
      <c r="Q791" s="4">
        <v>2.9656103E-2</v>
      </c>
      <c r="R791" t="s">
        <v>294</v>
      </c>
      <c r="S791">
        <v>0.24982694</v>
      </c>
      <c r="T791" t="s">
        <v>159</v>
      </c>
      <c r="U791">
        <v>0.11042952</v>
      </c>
      <c r="V791" t="s">
        <v>513</v>
      </c>
      <c r="W791">
        <v>7.8627504000000001E-2</v>
      </c>
    </row>
    <row r="792" spans="1:23" x14ac:dyDescent="0.25">
      <c r="A792" s="3" t="str">
        <f>HYPERLINK("http://ids.si.edu/ids/deliveryService?id=NMAH-AHB2006q22001","NMAH-AHB2006q22001")</f>
        <v>NMAH-AHB2006q22001</v>
      </c>
      <c r="B792" s="3" t="s">
        <v>2092</v>
      </c>
      <c r="C792" s="3">
        <v>670224</v>
      </c>
      <c r="D792" s="3" t="s">
        <v>424</v>
      </c>
      <c r="E792" s="4" t="s">
        <v>425</v>
      </c>
      <c r="F792" t="s">
        <v>126</v>
      </c>
      <c r="G792">
        <v>0.78740537166595459</v>
      </c>
      <c r="H792" t="s">
        <v>196</v>
      </c>
      <c r="I792">
        <v>0.66888242959976196</v>
      </c>
      <c r="J792" t="s">
        <v>486</v>
      </c>
      <c r="K792" s="4">
        <v>0.62069058418273926</v>
      </c>
      <c r="L792" t="s">
        <v>148</v>
      </c>
      <c r="M792">
        <v>0.45991004000000002</v>
      </c>
      <c r="N792" t="s">
        <v>209</v>
      </c>
      <c r="O792">
        <v>0.26529232000000003</v>
      </c>
      <c r="P792" t="s">
        <v>129</v>
      </c>
      <c r="Q792" s="4">
        <v>2.8569823000000001E-2</v>
      </c>
      <c r="R792" t="s">
        <v>209</v>
      </c>
      <c r="S792">
        <v>0.17453155000000001</v>
      </c>
      <c r="T792" t="s">
        <v>460</v>
      </c>
      <c r="U792">
        <v>7.5617190000000001E-2</v>
      </c>
      <c r="V792" t="s">
        <v>93</v>
      </c>
      <c r="W792">
        <v>5.6999645999999987E-2</v>
      </c>
    </row>
    <row r="793" spans="1:23" x14ac:dyDescent="0.25">
      <c r="A793" s="3" t="str">
        <f>HYPERLINK("http://ids.si.edu/ids/deliveryService?id=NMAH-AHB2017q074217","NMAH-AHB2017q074217")</f>
        <v>NMAH-AHB2017q074217</v>
      </c>
      <c r="B793" s="3" t="s">
        <v>2093</v>
      </c>
      <c r="C793" s="3">
        <v>606008</v>
      </c>
      <c r="D793" s="3" t="s">
        <v>424</v>
      </c>
      <c r="E793" s="4" t="s">
        <v>480</v>
      </c>
      <c r="F793" t="s">
        <v>441</v>
      </c>
      <c r="G793">
        <v>0.71206289529800415</v>
      </c>
      <c r="H793" t="s">
        <v>615</v>
      </c>
      <c r="I793">
        <v>0.66129732131958008</v>
      </c>
      <c r="J793" t="s">
        <v>388</v>
      </c>
      <c r="K793" s="4">
        <v>0.62865817546844482</v>
      </c>
      <c r="L793" t="s">
        <v>481</v>
      </c>
      <c r="M793">
        <v>0.39471275</v>
      </c>
      <c r="N793" t="s">
        <v>182</v>
      </c>
      <c r="O793">
        <v>9.2880450000000003E-2</v>
      </c>
      <c r="P793" t="s">
        <v>390</v>
      </c>
      <c r="Q793" s="4">
        <v>8.3441749999999995E-2</v>
      </c>
      <c r="R793" t="s">
        <v>601</v>
      </c>
      <c r="S793">
        <v>9.4657525000000006E-2</v>
      </c>
      <c r="T793" t="s">
        <v>685</v>
      </c>
      <c r="U793">
        <v>7.8615829999999998E-2</v>
      </c>
      <c r="V793" t="s">
        <v>397</v>
      </c>
      <c r="W793">
        <v>6.1465054999999998E-2</v>
      </c>
    </row>
    <row r="794" spans="1:23" x14ac:dyDescent="0.25">
      <c r="A794" s="3" t="str">
        <f>HYPERLINK("http://ids.si.edu/ids/deliveryService?id=NMAH-AHB2013q008130","NMAH-AHB2013q008130")</f>
        <v>NMAH-AHB2013q008130</v>
      </c>
      <c r="B794" s="3" t="s">
        <v>2094</v>
      </c>
      <c r="C794" s="3">
        <v>1250794</v>
      </c>
      <c r="D794" s="3" t="s">
        <v>424</v>
      </c>
      <c r="E794" s="4" t="s">
        <v>2095</v>
      </c>
      <c r="F794" t="s">
        <v>519</v>
      </c>
      <c r="G794">
        <v>0.81986987590789795</v>
      </c>
      <c r="H794" t="s">
        <v>617</v>
      </c>
      <c r="I794">
        <v>0.66505849361419678</v>
      </c>
      <c r="J794" t="s">
        <v>617</v>
      </c>
      <c r="K794" s="4">
        <v>0.61898386478424072</v>
      </c>
      <c r="L794" t="s">
        <v>129</v>
      </c>
      <c r="M794">
        <v>0.72721369999999996</v>
      </c>
      <c r="N794" t="s">
        <v>65</v>
      </c>
      <c r="O794">
        <v>0.25143219999999999</v>
      </c>
      <c r="P794" t="s">
        <v>66</v>
      </c>
      <c r="Q794" s="4">
        <v>7.0425780000000007E-3</v>
      </c>
      <c r="R794" t="s">
        <v>129</v>
      </c>
      <c r="S794">
        <v>0.71737030000000002</v>
      </c>
      <c r="T794" t="s">
        <v>65</v>
      </c>
      <c r="U794">
        <v>0.19278667999999999</v>
      </c>
      <c r="V794" t="s">
        <v>29</v>
      </c>
      <c r="W794">
        <v>1.7633704E-2</v>
      </c>
    </row>
    <row r="795" spans="1:23" x14ac:dyDescent="0.25">
      <c r="A795" s="3" t="str">
        <f>HYPERLINK("http://ids.si.edu/ids/deliveryService?id=NMAH-AHB2018q053469","NMAH-AHB2018q053469")</f>
        <v>NMAH-AHB2018q053469</v>
      </c>
      <c r="B795" s="3" t="s">
        <v>2096</v>
      </c>
      <c r="C795" s="3">
        <v>1189254</v>
      </c>
      <c r="D795" s="3" t="s">
        <v>424</v>
      </c>
      <c r="E795" s="4" t="s">
        <v>2097</v>
      </c>
      <c r="F795" t="s">
        <v>91</v>
      </c>
      <c r="G795">
        <v>0.88283330202102661</v>
      </c>
      <c r="H795" t="s">
        <v>441</v>
      </c>
      <c r="I795">
        <v>0.7457471489906311</v>
      </c>
      <c r="J795" t="s">
        <v>615</v>
      </c>
      <c r="K795" s="4">
        <v>0.68966531753540039</v>
      </c>
      <c r="L795" t="s">
        <v>149</v>
      </c>
      <c r="M795">
        <v>0.29878852</v>
      </c>
      <c r="N795" t="s">
        <v>273</v>
      </c>
      <c r="O795">
        <v>0.11346824</v>
      </c>
      <c r="P795" t="s">
        <v>170</v>
      </c>
      <c r="Q795" s="4">
        <v>8.8706724000000001E-2</v>
      </c>
      <c r="R795" t="s">
        <v>149</v>
      </c>
      <c r="S795">
        <v>0.27225276999999998</v>
      </c>
      <c r="T795" t="s">
        <v>601</v>
      </c>
      <c r="U795">
        <v>9.2810384999999995E-2</v>
      </c>
      <c r="V795" t="s">
        <v>460</v>
      </c>
      <c r="W795">
        <v>6.522857E-2</v>
      </c>
    </row>
    <row r="796" spans="1:23" x14ac:dyDescent="0.25">
      <c r="A796" s="3" t="str">
        <f>HYPERLINK("http://ids.si.edu/ids/deliveryService?id=NMAH-MAH-76177B","NMAH-MAH-76177B")</f>
        <v>NMAH-MAH-76177B</v>
      </c>
      <c r="B796" s="3" t="s">
        <v>2098</v>
      </c>
      <c r="C796" s="3">
        <v>606504</v>
      </c>
      <c r="D796" s="3" t="s">
        <v>424</v>
      </c>
      <c r="E796" s="4" t="s">
        <v>793</v>
      </c>
      <c r="F796" t="s">
        <v>433</v>
      </c>
      <c r="G796">
        <v>0.97946792840957642</v>
      </c>
      <c r="H796" t="s">
        <v>795</v>
      </c>
      <c r="I796">
        <v>0.96600931882858276</v>
      </c>
      <c r="J796" t="s">
        <v>2099</v>
      </c>
      <c r="K796" s="4">
        <v>0.95916837453842163</v>
      </c>
      <c r="L796" t="s">
        <v>536</v>
      </c>
      <c r="M796">
        <v>0.94186442999999997</v>
      </c>
      <c r="N796" t="s">
        <v>174</v>
      </c>
      <c r="O796">
        <v>2.4258418E-2</v>
      </c>
      <c r="P796" t="s">
        <v>718</v>
      </c>
      <c r="Q796" s="4">
        <v>2.143053E-2</v>
      </c>
      <c r="R796" t="s">
        <v>536</v>
      </c>
      <c r="S796">
        <v>0.44568590000000002</v>
      </c>
      <c r="T796" t="s">
        <v>314</v>
      </c>
      <c r="U796">
        <v>0.30472398000000001</v>
      </c>
      <c r="V796" t="s">
        <v>620</v>
      </c>
      <c r="W796">
        <v>4.9602E-2</v>
      </c>
    </row>
    <row r="797" spans="1:23" x14ac:dyDescent="0.25">
      <c r="A797" s="3" t="str">
        <f>HYPERLINK("http://ids.si.edu/ids/deliveryService?id=NMAH-AHB2018q015472","NMAH-AHB2018q015472")</f>
        <v>NMAH-AHB2018q015472</v>
      </c>
      <c r="B797" s="3" t="s">
        <v>2100</v>
      </c>
      <c r="C797" s="3">
        <v>1835487</v>
      </c>
      <c r="D797" s="3" t="s">
        <v>424</v>
      </c>
      <c r="E797" s="4" t="s">
        <v>2080</v>
      </c>
      <c r="F797" t="s">
        <v>61</v>
      </c>
      <c r="G797">
        <v>0.97626835107803345</v>
      </c>
      <c r="H797" t="s">
        <v>112</v>
      </c>
      <c r="I797">
        <v>0.87534892559051514</v>
      </c>
      <c r="J797" t="s">
        <v>220</v>
      </c>
      <c r="K797" s="4">
        <v>0.78736066818237305</v>
      </c>
      <c r="L797" t="s">
        <v>29</v>
      </c>
      <c r="M797">
        <v>0.62470292999999999</v>
      </c>
      <c r="N797" t="s">
        <v>77</v>
      </c>
      <c r="O797">
        <v>9.3689399999999992E-2</v>
      </c>
      <c r="P797" t="s">
        <v>65</v>
      </c>
      <c r="Q797" s="4">
        <v>5.4647528000000001E-2</v>
      </c>
      <c r="R797" t="s">
        <v>29</v>
      </c>
      <c r="S797">
        <v>0.49685430000000003</v>
      </c>
      <c r="T797" t="s">
        <v>1260</v>
      </c>
      <c r="U797">
        <v>6.6138279999999994E-2</v>
      </c>
      <c r="V797" t="s">
        <v>563</v>
      </c>
      <c r="W797">
        <v>6.1127323999999997E-2</v>
      </c>
    </row>
    <row r="798" spans="1:23" x14ac:dyDescent="0.25">
      <c r="A798" s="3" t="str">
        <f>HYPERLINK("http://ids.si.edu/ids/deliveryService?id=NMAH-ET2010-32787-009","NMAH-ET2010-32787-009")</f>
        <v>NMAH-ET2010-32787-009</v>
      </c>
      <c r="B798" s="3" t="s">
        <v>2101</v>
      </c>
      <c r="C798" s="3">
        <v>1294266</v>
      </c>
      <c r="D798" s="3" t="s">
        <v>424</v>
      </c>
      <c r="E798" s="4" t="s">
        <v>538</v>
      </c>
      <c r="F798" t="s">
        <v>525</v>
      </c>
      <c r="G798">
        <v>0.80441176891326904</v>
      </c>
      <c r="H798" t="s">
        <v>264</v>
      </c>
      <c r="I798">
        <v>0.78084582090377808</v>
      </c>
      <c r="J798" t="s">
        <v>62</v>
      </c>
      <c r="K798" s="4">
        <v>0.77700918912887573</v>
      </c>
      <c r="L798" t="s">
        <v>65</v>
      </c>
      <c r="M798">
        <v>0.46754488</v>
      </c>
      <c r="N798" t="s">
        <v>376</v>
      </c>
      <c r="O798">
        <v>0.14360861</v>
      </c>
      <c r="P798" t="s">
        <v>379</v>
      </c>
      <c r="Q798" s="4">
        <v>8.858336E-2</v>
      </c>
      <c r="R798" t="s">
        <v>65</v>
      </c>
      <c r="S798">
        <v>0.18038535</v>
      </c>
      <c r="T798" t="s">
        <v>376</v>
      </c>
      <c r="U798">
        <v>0.10329006</v>
      </c>
      <c r="V798" t="s">
        <v>377</v>
      </c>
      <c r="W798">
        <v>7.5842510000000002E-2</v>
      </c>
    </row>
    <row r="799" spans="1:23" x14ac:dyDescent="0.25">
      <c r="A799" s="3" t="str">
        <f>HYPERLINK("http://ids.si.edu/ids/deliveryService?id=NMAH-AHB2009q09513","NMAH-AHB2009q09513")</f>
        <v>NMAH-AHB2009q09513</v>
      </c>
      <c r="B799" s="3" t="s">
        <v>2102</v>
      </c>
      <c r="C799" s="3">
        <v>1334704</v>
      </c>
      <c r="D799" s="3" t="s">
        <v>424</v>
      </c>
      <c r="E799" s="4" t="s">
        <v>2103</v>
      </c>
      <c r="F799" t="s">
        <v>61</v>
      </c>
      <c r="G799">
        <v>0.85248786211013794</v>
      </c>
      <c r="H799" t="s">
        <v>281</v>
      </c>
      <c r="I799">
        <v>0.74694603681564331</v>
      </c>
      <c r="J799" t="s">
        <v>220</v>
      </c>
      <c r="K799" s="4">
        <v>0.6113312840461731</v>
      </c>
      <c r="L799" t="s">
        <v>33</v>
      </c>
      <c r="M799">
        <v>0.62609862999999999</v>
      </c>
      <c r="N799" t="s">
        <v>65</v>
      </c>
      <c r="O799">
        <v>0.22067222</v>
      </c>
      <c r="P799" t="s">
        <v>32</v>
      </c>
      <c r="Q799" s="4">
        <v>4.2248543E-2</v>
      </c>
      <c r="R799" t="s">
        <v>32</v>
      </c>
      <c r="S799">
        <v>0.4165317</v>
      </c>
      <c r="T799" t="s">
        <v>33</v>
      </c>
      <c r="U799">
        <v>0.13442391000000001</v>
      </c>
      <c r="V799" t="s">
        <v>426</v>
      </c>
      <c r="W799">
        <v>6.8911340000000001E-2</v>
      </c>
    </row>
    <row r="800" spans="1:23" x14ac:dyDescent="0.25">
      <c r="A800" s="3" t="str">
        <f>HYPERLINK("http://ids.si.edu/ids/deliveryService?id=NMAH-72-9364-001","NMAH-72-9364-001")</f>
        <v>NMAH-72-9364-001</v>
      </c>
      <c r="B800" s="3" t="s">
        <v>2104</v>
      </c>
      <c r="C800" s="3">
        <v>605830</v>
      </c>
      <c r="D800" s="3" t="s">
        <v>424</v>
      </c>
      <c r="E800" s="4" t="s">
        <v>565</v>
      </c>
      <c r="F800" t="s">
        <v>433</v>
      </c>
      <c r="G800">
        <v>0.96517544984817505</v>
      </c>
      <c r="H800" t="s">
        <v>2067</v>
      </c>
      <c r="I800">
        <v>0.95556491613388062</v>
      </c>
      <c r="J800" t="s">
        <v>2066</v>
      </c>
      <c r="K800" s="4">
        <v>0.94267487525939941</v>
      </c>
      <c r="L800" t="s">
        <v>481</v>
      </c>
      <c r="M800">
        <v>0.95975332999999996</v>
      </c>
      <c r="N800" t="s">
        <v>182</v>
      </c>
      <c r="O800">
        <v>3.8463205E-2</v>
      </c>
      <c r="P800" t="s">
        <v>420</v>
      </c>
      <c r="Q800" s="4">
        <v>9.3087653000000002E-4</v>
      </c>
      <c r="R800" t="s">
        <v>481</v>
      </c>
      <c r="S800">
        <v>0.92875266000000001</v>
      </c>
      <c r="T800" t="s">
        <v>182</v>
      </c>
      <c r="U800">
        <v>6.9600140000000005E-2</v>
      </c>
      <c r="V800" t="s">
        <v>177</v>
      </c>
      <c r="W800">
        <v>6.6292869999999993E-4</v>
      </c>
    </row>
    <row r="801" spans="1:23" x14ac:dyDescent="0.25">
      <c r="A801" s="3" t="str">
        <f>HYPERLINK("http://ids.si.edu/ids/deliveryService?id=NMAH-JN2015-5080","NMAH-JN2015-5080")</f>
        <v>NMAH-JN2015-5080</v>
      </c>
      <c r="B801" s="3" t="s">
        <v>2105</v>
      </c>
      <c r="C801" s="3">
        <v>605654</v>
      </c>
      <c r="D801" s="3" t="s">
        <v>424</v>
      </c>
      <c r="E801" s="4" t="s">
        <v>492</v>
      </c>
      <c r="F801" t="s">
        <v>434</v>
      </c>
      <c r="G801">
        <v>0.99285084009170532</v>
      </c>
      <c r="H801" t="s">
        <v>433</v>
      </c>
      <c r="I801">
        <v>0.99254834651947021</v>
      </c>
      <c r="J801" t="s">
        <v>434</v>
      </c>
      <c r="K801" s="4">
        <v>0.98659098148345947</v>
      </c>
      <c r="L801" t="s">
        <v>552</v>
      </c>
      <c r="M801">
        <v>0.81604653999999999</v>
      </c>
      <c r="N801" t="s">
        <v>492</v>
      </c>
      <c r="O801">
        <v>0.18190062000000001</v>
      </c>
      <c r="P801" t="s">
        <v>436</v>
      </c>
      <c r="Q801" s="4">
        <v>1.0316684E-3</v>
      </c>
      <c r="R801" t="s">
        <v>436</v>
      </c>
      <c r="S801">
        <v>0.30764200000000003</v>
      </c>
      <c r="T801" t="s">
        <v>552</v>
      </c>
      <c r="U801">
        <v>0.12011606</v>
      </c>
      <c r="V801" t="s">
        <v>437</v>
      </c>
      <c r="W801">
        <v>0.10041329</v>
      </c>
    </row>
    <row r="802" spans="1:23" x14ac:dyDescent="0.25">
      <c r="A802" s="3" t="str">
        <f>HYPERLINK("http://ids.si.edu/ids/deliveryService?id=NMAH-AHB2006q23595","NMAH-AHB2006q23595")</f>
        <v>NMAH-AHB2006q23595</v>
      </c>
      <c r="B802" s="3" t="s">
        <v>2106</v>
      </c>
      <c r="C802" s="3">
        <v>662650</v>
      </c>
      <c r="D802" s="3" t="s">
        <v>424</v>
      </c>
      <c r="E802" s="4" t="s">
        <v>425</v>
      </c>
      <c r="F802" t="s">
        <v>440</v>
      </c>
      <c r="G802">
        <v>0.90983819961547852</v>
      </c>
      <c r="H802" t="s">
        <v>1127</v>
      </c>
      <c r="I802">
        <v>0.8564831018447876</v>
      </c>
      <c r="J802" t="s">
        <v>1357</v>
      </c>
      <c r="K802" s="4">
        <v>0.80696576833724976</v>
      </c>
      <c r="L802" t="s">
        <v>303</v>
      </c>
      <c r="M802">
        <v>0.70994309999999994</v>
      </c>
      <c r="N802" t="s">
        <v>528</v>
      </c>
      <c r="O802">
        <v>2.8941516E-2</v>
      </c>
      <c r="P802" t="s">
        <v>610</v>
      </c>
      <c r="Q802" s="4">
        <v>1.4401143999999999E-2</v>
      </c>
      <c r="R802" t="s">
        <v>303</v>
      </c>
      <c r="S802">
        <v>0.1845716</v>
      </c>
      <c r="T802" t="s">
        <v>502</v>
      </c>
      <c r="U802">
        <v>0.13486107999999999</v>
      </c>
      <c r="V802" t="s">
        <v>233</v>
      </c>
      <c r="W802">
        <v>4.2784824999999999E-2</v>
      </c>
    </row>
    <row r="803" spans="1:23" x14ac:dyDescent="0.25">
      <c r="A803" s="3" t="str">
        <f>HYPERLINK("http://ids.si.edu/ids/deliveryService?id=NMAH-AHB2018q015804","NMAH-AHB2018q015804")</f>
        <v>NMAH-AHB2018q015804</v>
      </c>
      <c r="B803" s="3" t="s">
        <v>2107</v>
      </c>
      <c r="C803" s="3">
        <v>1835838</v>
      </c>
      <c r="D803" s="3" t="s">
        <v>424</v>
      </c>
      <c r="E803" s="4" t="s">
        <v>2080</v>
      </c>
      <c r="F803" t="s">
        <v>61</v>
      </c>
      <c r="G803">
        <v>0.95956087112426758</v>
      </c>
      <c r="H803" t="s">
        <v>220</v>
      </c>
      <c r="I803">
        <v>0.79004210233688354</v>
      </c>
      <c r="J803" t="s">
        <v>112</v>
      </c>
      <c r="K803" s="4">
        <v>0.78258353471755981</v>
      </c>
      <c r="L803" t="s">
        <v>77</v>
      </c>
      <c r="M803">
        <v>0.39475209999999999</v>
      </c>
      <c r="N803" t="s">
        <v>65</v>
      </c>
      <c r="O803">
        <v>0.1139428</v>
      </c>
      <c r="P803" t="s">
        <v>398</v>
      </c>
      <c r="Q803" s="4">
        <v>0.10168312</v>
      </c>
      <c r="R803" t="s">
        <v>29</v>
      </c>
      <c r="S803">
        <v>0.2212624</v>
      </c>
      <c r="T803" t="s">
        <v>398</v>
      </c>
      <c r="U803">
        <v>8.9542460000000004E-2</v>
      </c>
      <c r="V803" t="s">
        <v>563</v>
      </c>
      <c r="W803">
        <v>6.1075320000000002E-2</v>
      </c>
    </row>
    <row r="804" spans="1:23" x14ac:dyDescent="0.25">
      <c r="A804" s="3" t="str">
        <f>HYPERLINK("http://ids.si.edu/ids/deliveryService?id=NMAH-2007-5950-000002","NMAH-2007-5950-000002")</f>
        <v>NMAH-2007-5950-000002</v>
      </c>
      <c r="B804" s="3" t="s">
        <v>2108</v>
      </c>
      <c r="C804" s="3">
        <v>1301252</v>
      </c>
      <c r="D804" s="3" t="s">
        <v>424</v>
      </c>
      <c r="E804" s="4" t="s">
        <v>2109</v>
      </c>
      <c r="F804" t="s">
        <v>91</v>
      </c>
      <c r="G804">
        <v>0.9462587833404541</v>
      </c>
      <c r="H804" t="s">
        <v>439</v>
      </c>
      <c r="I804">
        <v>0.94267934560775757</v>
      </c>
      <c r="J804" t="s">
        <v>441</v>
      </c>
      <c r="K804" s="4">
        <v>0.85457557439804077</v>
      </c>
      <c r="L804" t="s">
        <v>209</v>
      </c>
      <c r="M804">
        <v>0.20660770000000001</v>
      </c>
      <c r="N804" t="s">
        <v>253</v>
      </c>
      <c r="O804">
        <v>0.12835245000000001</v>
      </c>
      <c r="P804" t="s">
        <v>185</v>
      </c>
      <c r="Q804" s="4">
        <v>7.1811379999999994E-2</v>
      </c>
      <c r="R804" t="s">
        <v>601</v>
      </c>
      <c r="S804">
        <v>0.37748103999999999</v>
      </c>
      <c r="T804" t="s">
        <v>149</v>
      </c>
      <c r="U804">
        <v>0.18823622000000001</v>
      </c>
      <c r="V804" t="s">
        <v>529</v>
      </c>
      <c r="W804">
        <v>8.3602309999999999E-2</v>
      </c>
    </row>
    <row r="805" spans="1:23" x14ac:dyDescent="0.25">
      <c r="A805" s="3" t="str">
        <f>HYPERLINK("http://ids.si.edu/ids/deliveryService?id=NMAH-AHB2006q22205","NMAH-AHB2006q22205")</f>
        <v>NMAH-AHB2006q22205</v>
      </c>
      <c r="B805" s="3" t="s">
        <v>2110</v>
      </c>
      <c r="C805" s="3">
        <v>676199</v>
      </c>
      <c r="D805" s="3" t="s">
        <v>424</v>
      </c>
      <c r="E805" s="4" t="s">
        <v>425</v>
      </c>
      <c r="F805" t="s">
        <v>126</v>
      </c>
      <c r="G805">
        <v>0.77605181932449341</v>
      </c>
      <c r="H805" t="s">
        <v>194</v>
      </c>
      <c r="I805">
        <v>0.7292444109916687</v>
      </c>
      <c r="J805" t="s">
        <v>112</v>
      </c>
      <c r="K805" s="4">
        <v>0.68572378158569336</v>
      </c>
      <c r="L805" t="s">
        <v>65</v>
      </c>
      <c r="M805">
        <v>0.69011790000000006</v>
      </c>
      <c r="N805" t="s">
        <v>79</v>
      </c>
      <c r="O805">
        <v>3.3686575000000003E-2</v>
      </c>
      <c r="P805" t="s">
        <v>259</v>
      </c>
      <c r="Q805" s="4">
        <v>3.2000902999999997E-2</v>
      </c>
      <c r="R805" t="s">
        <v>79</v>
      </c>
      <c r="S805">
        <v>0.2638935</v>
      </c>
      <c r="T805" t="s">
        <v>65</v>
      </c>
      <c r="U805">
        <v>0.20726538</v>
      </c>
      <c r="V805" t="s">
        <v>66</v>
      </c>
      <c r="W805">
        <v>0.14236517000000001</v>
      </c>
    </row>
    <row r="806" spans="1:23" x14ac:dyDescent="0.25">
      <c r="A806" s="3" t="str">
        <f>HYPERLINK("http://ids.si.edu/ids/deliveryService?id=NMAH-AHB2014q007163","NMAH-AHB2014q007163")</f>
        <v>NMAH-AHB2014q007163</v>
      </c>
      <c r="B806" s="3" t="s">
        <v>2111</v>
      </c>
      <c r="C806" s="3">
        <v>1455496</v>
      </c>
      <c r="D806" s="3" t="s">
        <v>424</v>
      </c>
      <c r="E806" s="4" t="s">
        <v>59</v>
      </c>
      <c r="F806" t="s">
        <v>60</v>
      </c>
      <c r="G806">
        <v>0.95947855710983276</v>
      </c>
      <c r="H806" t="s">
        <v>525</v>
      </c>
      <c r="I806">
        <v>0.86757421493530273</v>
      </c>
      <c r="J806" t="s">
        <v>727</v>
      </c>
      <c r="K806" s="4">
        <v>0.65663927793502808</v>
      </c>
      <c r="L806" t="s">
        <v>65</v>
      </c>
      <c r="M806">
        <v>0.67659544999999999</v>
      </c>
      <c r="N806" t="s">
        <v>378</v>
      </c>
      <c r="O806">
        <v>0.123110294</v>
      </c>
      <c r="P806" t="s">
        <v>1633</v>
      </c>
      <c r="Q806" s="4">
        <v>6.5958000000000003E-2</v>
      </c>
      <c r="R806" t="s">
        <v>376</v>
      </c>
      <c r="S806">
        <v>0.17577924</v>
      </c>
      <c r="T806" t="s">
        <v>65</v>
      </c>
      <c r="U806">
        <v>0.11938319999999999</v>
      </c>
      <c r="V806" t="s">
        <v>225</v>
      </c>
      <c r="W806">
        <v>0.11275810999999999</v>
      </c>
    </row>
    <row r="807" spans="1:23" x14ac:dyDescent="0.25">
      <c r="A807" s="3" t="str">
        <f>HYPERLINK("http://ids.si.edu/ids/deliveryService?id=NMAH-AHB2006q24585","NMAH-AHB2006q24585")</f>
        <v>NMAH-AHB2006q24585</v>
      </c>
      <c r="B807" s="3" t="s">
        <v>2112</v>
      </c>
      <c r="C807" s="3">
        <v>1213302</v>
      </c>
      <c r="D807" s="3" t="s">
        <v>424</v>
      </c>
      <c r="E807" s="4" t="s">
        <v>425</v>
      </c>
      <c r="F807" t="s">
        <v>126</v>
      </c>
      <c r="G807">
        <v>0.92828315496444702</v>
      </c>
      <c r="H807" t="s">
        <v>525</v>
      </c>
      <c r="I807">
        <v>0.5620955228805542</v>
      </c>
      <c r="J807" t="s">
        <v>467</v>
      </c>
      <c r="K807" s="4">
        <v>0.54897129535675049</v>
      </c>
      <c r="L807" t="s">
        <v>79</v>
      </c>
      <c r="M807">
        <v>0.27600767999999998</v>
      </c>
      <c r="N807" t="s">
        <v>65</v>
      </c>
      <c r="O807">
        <v>0.25070056000000002</v>
      </c>
      <c r="P807" t="s">
        <v>144</v>
      </c>
      <c r="Q807" s="4">
        <v>0.10996672</v>
      </c>
      <c r="R807" t="s">
        <v>129</v>
      </c>
      <c r="S807">
        <v>0.64934630000000004</v>
      </c>
      <c r="T807" t="s">
        <v>65</v>
      </c>
      <c r="U807">
        <v>0.19820115999999999</v>
      </c>
      <c r="V807" t="s">
        <v>29</v>
      </c>
      <c r="W807">
        <v>2.5114411E-2</v>
      </c>
    </row>
    <row r="808" spans="1:23" x14ac:dyDescent="0.25">
      <c r="A808" s="3" t="str">
        <f>HYPERLINK("http://ids.si.edu/ids/deliveryService?id=NMAH-AHB2009q22204","NMAH-AHB2009q22204")</f>
        <v>NMAH-AHB2009q22204</v>
      </c>
      <c r="B808" s="3" t="s">
        <v>2113</v>
      </c>
      <c r="C808" s="3">
        <v>802179</v>
      </c>
      <c r="D808" s="3" t="s">
        <v>424</v>
      </c>
      <c r="E808" s="4" t="s">
        <v>1182</v>
      </c>
      <c r="F808" t="s">
        <v>2114</v>
      </c>
      <c r="G808">
        <v>0.94629055261611938</v>
      </c>
      <c r="H808" t="s">
        <v>2115</v>
      </c>
      <c r="I808">
        <v>0.92961579561233521</v>
      </c>
      <c r="J808" t="s">
        <v>2116</v>
      </c>
      <c r="K808" s="4">
        <v>0.8966335654258728</v>
      </c>
      <c r="L808" t="s">
        <v>2117</v>
      </c>
      <c r="M808">
        <v>0.53197050000000001</v>
      </c>
      <c r="N808" t="s">
        <v>158</v>
      </c>
      <c r="O808">
        <v>0.24540344</v>
      </c>
      <c r="P808" t="s">
        <v>2118</v>
      </c>
      <c r="Q808" s="4">
        <v>7.0889969999999997E-2</v>
      </c>
      <c r="R808" t="s">
        <v>2117</v>
      </c>
      <c r="S808">
        <v>0.35730729</v>
      </c>
      <c r="T808" t="s">
        <v>158</v>
      </c>
      <c r="U808">
        <v>9.7146234999999997E-2</v>
      </c>
      <c r="V808" t="s">
        <v>2118</v>
      </c>
      <c r="W808">
        <v>8.1718860000000004E-2</v>
      </c>
    </row>
    <row r="809" spans="1:23" x14ac:dyDescent="0.25">
      <c r="A809" s="3" t="str">
        <f>HYPERLINK("http://ids.si.edu/ids/deliveryService?id=NMAH-AHB2018q013455","NMAH-AHB2018q013455")</f>
        <v>NMAH-AHB2018q013455</v>
      </c>
      <c r="B809" s="3" t="s">
        <v>2119</v>
      </c>
      <c r="C809" s="3">
        <v>1835384</v>
      </c>
      <c r="D809" s="3" t="s">
        <v>424</v>
      </c>
      <c r="E809" s="4" t="s">
        <v>2080</v>
      </c>
      <c r="F809" t="s">
        <v>61</v>
      </c>
      <c r="G809">
        <v>0.94299954175949097</v>
      </c>
      <c r="H809" t="s">
        <v>112</v>
      </c>
      <c r="I809">
        <v>0.74956268072128296</v>
      </c>
      <c r="J809" t="s">
        <v>220</v>
      </c>
      <c r="K809" s="4">
        <v>0.72874158620834351</v>
      </c>
      <c r="L809" t="s">
        <v>77</v>
      </c>
      <c r="M809">
        <v>0.54549782999999996</v>
      </c>
      <c r="N809" t="s">
        <v>398</v>
      </c>
      <c r="O809">
        <v>7.3635249999999999E-2</v>
      </c>
      <c r="P809" t="s">
        <v>29</v>
      </c>
      <c r="Q809" s="4">
        <v>6.0094300000000003E-2</v>
      </c>
      <c r="R809" t="s">
        <v>398</v>
      </c>
      <c r="S809">
        <v>0.27330842999999999</v>
      </c>
      <c r="T809" t="s">
        <v>29</v>
      </c>
      <c r="U809">
        <v>0.14782624</v>
      </c>
      <c r="V809" t="s">
        <v>260</v>
      </c>
      <c r="W809">
        <v>0.13870291000000001</v>
      </c>
    </row>
    <row r="810" spans="1:23" x14ac:dyDescent="0.25">
      <c r="A810" s="3" t="str">
        <f>HYPERLINK("http://ids.si.edu/ids/deliveryService?id=NMAH-AHB2011q01316-000001","NMAH-AHB2011q01316-000001")</f>
        <v>NMAH-AHB2011q01316-000001</v>
      </c>
      <c r="B810" s="3" t="s">
        <v>2120</v>
      </c>
      <c r="C810" s="3">
        <v>1250767</v>
      </c>
      <c r="D810" s="3" t="s">
        <v>424</v>
      </c>
      <c r="E810" s="4" t="s">
        <v>740</v>
      </c>
      <c r="F810" t="s">
        <v>519</v>
      </c>
      <c r="G810">
        <v>0.85599565505981445</v>
      </c>
      <c r="H810" t="s">
        <v>311</v>
      </c>
      <c r="I810">
        <v>0.62255698442459106</v>
      </c>
      <c r="J810" t="s">
        <v>62</v>
      </c>
      <c r="K810" s="4">
        <v>0.50218719244003296</v>
      </c>
      <c r="L810" t="s">
        <v>65</v>
      </c>
      <c r="M810">
        <v>0.38734513999999998</v>
      </c>
      <c r="N810" t="s">
        <v>129</v>
      </c>
      <c r="O810">
        <v>0.2214612</v>
      </c>
      <c r="P810" t="s">
        <v>209</v>
      </c>
      <c r="Q810" s="4">
        <v>0.10788259</v>
      </c>
      <c r="R810" t="s">
        <v>65</v>
      </c>
      <c r="S810">
        <v>0.35480082000000002</v>
      </c>
      <c r="T810" t="s">
        <v>129</v>
      </c>
      <c r="U810">
        <v>0.14267626</v>
      </c>
      <c r="V810" t="s">
        <v>66</v>
      </c>
      <c r="W810">
        <v>0.12599556000000001</v>
      </c>
    </row>
    <row r="811" spans="1:23" x14ac:dyDescent="0.25">
      <c r="A811" s="3" t="str">
        <f>HYPERLINK("http://ids.si.edu/ids/deliveryService?id=NMAH-MAH-56460","NMAH-MAH-56460")</f>
        <v>NMAH-MAH-56460</v>
      </c>
      <c r="B811" s="3" t="s">
        <v>2121</v>
      </c>
      <c r="C811" s="3">
        <v>605859</v>
      </c>
      <c r="D811" s="3" t="s">
        <v>424</v>
      </c>
      <c r="E811" s="4" t="s">
        <v>565</v>
      </c>
      <c r="F811" t="s">
        <v>2066</v>
      </c>
      <c r="G811">
        <v>0.93989652395248413</v>
      </c>
      <c r="H811" t="s">
        <v>179</v>
      </c>
      <c r="I811">
        <v>0.90151947736740112</v>
      </c>
      <c r="J811" t="s">
        <v>419</v>
      </c>
      <c r="K811" s="4">
        <v>0.90065509080886841</v>
      </c>
      <c r="L811" t="s">
        <v>481</v>
      </c>
      <c r="M811">
        <v>0.44932109999999992</v>
      </c>
      <c r="N811" t="s">
        <v>150</v>
      </c>
      <c r="O811">
        <v>0.26483994999999999</v>
      </c>
      <c r="P811" t="s">
        <v>2122</v>
      </c>
      <c r="Q811" s="4">
        <v>0.10313266</v>
      </c>
      <c r="R811" t="s">
        <v>481</v>
      </c>
      <c r="S811">
        <v>0.61198275999999996</v>
      </c>
      <c r="T811" t="s">
        <v>177</v>
      </c>
      <c r="U811">
        <v>0.10496694600000001</v>
      </c>
      <c r="V811" t="s">
        <v>182</v>
      </c>
      <c r="W811">
        <v>0.10451154999999999</v>
      </c>
    </row>
    <row r="812" spans="1:23" x14ac:dyDescent="0.25">
      <c r="A812" s="3" t="str">
        <f>HYPERLINK("http://ids.si.edu/ids/deliveryService?id=NMAH-AHB2006q23865","NMAH-AHB2006q23865")</f>
        <v>NMAH-AHB2006q23865</v>
      </c>
      <c r="B812" s="3" t="s">
        <v>2123</v>
      </c>
      <c r="C812" s="3">
        <v>672847</v>
      </c>
      <c r="D812" s="3" t="s">
        <v>424</v>
      </c>
      <c r="E812" s="4" t="s">
        <v>425</v>
      </c>
      <c r="F812" t="s">
        <v>440</v>
      </c>
      <c r="G812">
        <v>0.94472318887710571</v>
      </c>
      <c r="H812" t="s">
        <v>301</v>
      </c>
      <c r="I812">
        <v>0.67903727293014526</v>
      </c>
      <c r="J812" t="s">
        <v>441</v>
      </c>
      <c r="K812" s="4">
        <v>0.6757805347442627</v>
      </c>
      <c r="L812" t="s">
        <v>303</v>
      </c>
      <c r="M812">
        <v>0.95554530000000015</v>
      </c>
      <c r="N812" t="s">
        <v>460</v>
      </c>
      <c r="O812">
        <v>1.1573195999999999E-2</v>
      </c>
      <c r="P812" t="s">
        <v>501</v>
      </c>
      <c r="Q812" s="4">
        <v>5.1329113000000001E-3</v>
      </c>
      <c r="R812" t="s">
        <v>303</v>
      </c>
      <c r="S812">
        <v>0.62549750000000004</v>
      </c>
      <c r="T812" t="s">
        <v>502</v>
      </c>
      <c r="U812">
        <v>8.4879609999999994E-2</v>
      </c>
      <c r="V812" t="s">
        <v>233</v>
      </c>
      <c r="W812">
        <v>7.9667840000000004E-2</v>
      </c>
    </row>
    <row r="813" spans="1:23" x14ac:dyDescent="0.25">
      <c r="A813" s="3" t="str">
        <f>HYPERLINK("http://ids.si.edu/ids/deliveryService?id=NMAH-AHB2016q040164","NMAH-AHB2016q040164")</f>
        <v>NMAH-AHB2016q040164</v>
      </c>
      <c r="B813" s="3" t="s">
        <v>2124</v>
      </c>
      <c r="C813" s="3">
        <v>606457</v>
      </c>
      <c r="D813" s="3" t="s">
        <v>424</v>
      </c>
      <c r="E813" s="4" t="s">
        <v>717</v>
      </c>
      <c r="F813" t="s">
        <v>543</v>
      </c>
      <c r="G813">
        <v>0.99254214763641357</v>
      </c>
      <c r="H813" t="s">
        <v>433</v>
      </c>
      <c r="I813">
        <v>0.98392027616500854</v>
      </c>
      <c r="J813" t="s">
        <v>535</v>
      </c>
      <c r="K813" s="4">
        <v>0.95168530941009521</v>
      </c>
      <c r="L813" t="s">
        <v>174</v>
      </c>
      <c r="M813">
        <v>0.88417839999999992</v>
      </c>
      <c r="N813" t="s">
        <v>544</v>
      </c>
      <c r="O813">
        <v>0.10048904</v>
      </c>
      <c r="P813" t="s">
        <v>718</v>
      </c>
      <c r="Q813" s="4">
        <v>9.1952459999999989E-3</v>
      </c>
      <c r="R813" t="s">
        <v>174</v>
      </c>
      <c r="S813">
        <v>0.95565027000000002</v>
      </c>
      <c r="T813" t="s">
        <v>544</v>
      </c>
      <c r="U813">
        <v>3.4933800000000001E-2</v>
      </c>
      <c r="V813" t="s">
        <v>545</v>
      </c>
      <c r="W813">
        <v>4.0957420000000003E-3</v>
      </c>
    </row>
    <row r="814" spans="1:23" x14ac:dyDescent="0.25">
      <c r="A814" s="3" t="str">
        <f>HYPERLINK("http://ids.si.edu/ids/deliveryService?id=NMAH-JN2018-01399-000001","NMAH-JN2018-01399-000001")</f>
        <v>NMAH-JN2018-01399-000001</v>
      </c>
      <c r="B814" s="3" t="s">
        <v>2125</v>
      </c>
      <c r="C814" s="3">
        <v>679316</v>
      </c>
      <c r="D814" s="3" t="s">
        <v>424</v>
      </c>
      <c r="E814" s="4" t="s">
        <v>2126</v>
      </c>
      <c r="F814" t="s">
        <v>201</v>
      </c>
      <c r="G814">
        <v>0.98234730958938599</v>
      </c>
      <c r="H814" t="s">
        <v>101</v>
      </c>
      <c r="I814">
        <v>0.97737431526184082</v>
      </c>
      <c r="J814" t="s">
        <v>103</v>
      </c>
      <c r="K814" s="4">
        <v>0.88317632675170898</v>
      </c>
      <c r="L814" t="s">
        <v>108</v>
      </c>
      <c r="M814">
        <v>0.89159644000000005</v>
      </c>
      <c r="N814" t="s">
        <v>134</v>
      </c>
      <c r="O814">
        <v>6.0144000000000003E-2</v>
      </c>
      <c r="P814" t="s">
        <v>294</v>
      </c>
      <c r="Q814" s="4">
        <v>5.9868200000000003E-3</v>
      </c>
      <c r="R814" t="s">
        <v>108</v>
      </c>
      <c r="S814">
        <v>0.89219820000000005</v>
      </c>
      <c r="T814" t="s">
        <v>134</v>
      </c>
      <c r="U814">
        <v>7.1790469999999995E-2</v>
      </c>
      <c r="V814" t="s">
        <v>619</v>
      </c>
      <c r="W814">
        <v>1.1797543000000001E-2</v>
      </c>
    </row>
    <row r="815" spans="1:23" x14ac:dyDescent="0.25">
      <c r="A815" s="3" t="str">
        <f>HYPERLINK("http://ids.si.edu/ids/deliveryService?id=NMAH-AHB2006q22711","NMAH-AHB2006q22711")</f>
        <v>NMAH-AHB2006q22711</v>
      </c>
      <c r="B815" s="3" t="s">
        <v>2127</v>
      </c>
      <c r="C815" s="3">
        <v>668441</v>
      </c>
      <c r="D815" s="3" t="s">
        <v>424</v>
      </c>
      <c r="E815" s="4" t="s">
        <v>425</v>
      </c>
      <c r="F815" t="s">
        <v>126</v>
      </c>
      <c r="G815">
        <v>0.90707939863204956</v>
      </c>
      <c r="H815" t="s">
        <v>311</v>
      </c>
      <c r="I815">
        <v>0.69127112627029419</v>
      </c>
      <c r="J815" t="s">
        <v>1544</v>
      </c>
      <c r="K815" s="4">
        <v>0.60713905096054077</v>
      </c>
      <c r="L815" t="s">
        <v>65</v>
      </c>
      <c r="M815">
        <v>0.92144439999999994</v>
      </c>
      <c r="N815" t="s">
        <v>129</v>
      </c>
      <c r="O815">
        <v>3.9295599999999993E-2</v>
      </c>
      <c r="P815" t="s">
        <v>79</v>
      </c>
      <c r="Q815" s="4">
        <v>3.2154391999999997E-2</v>
      </c>
      <c r="R815" t="s">
        <v>129</v>
      </c>
      <c r="S815">
        <v>0.55858380000000007</v>
      </c>
      <c r="T815" t="s">
        <v>65</v>
      </c>
      <c r="U815">
        <v>0.41949898000000002</v>
      </c>
      <c r="V815" t="s">
        <v>209</v>
      </c>
      <c r="W815">
        <v>3.2143003999999999E-3</v>
      </c>
    </row>
    <row r="816" spans="1:23" x14ac:dyDescent="0.25">
      <c r="A816" s="3" t="str">
        <f>HYPERLINK("http://ids.si.edu/ids/deliveryService?id=NMAH-JN2013-2539","NMAH-JN2013-2539")</f>
        <v>NMAH-JN2013-2539</v>
      </c>
      <c r="B816" s="3" t="s">
        <v>2128</v>
      </c>
      <c r="C816" s="3">
        <v>1448973</v>
      </c>
      <c r="D816" s="3" t="s">
        <v>424</v>
      </c>
      <c r="E816" s="4" t="s">
        <v>547</v>
      </c>
      <c r="F816" t="s">
        <v>519</v>
      </c>
      <c r="G816">
        <v>0.89557355642318726</v>
      </c>
      <c r="H816" t="s">
        <v>771</v>
      </c>
      <c r="I816">
        <v>0.70757526159286499</v>
      </c>
      <c r="J816" t="s">
        <v>1578</v>
      </c>
      <c r="K816" s="4">
        <v>0.67483419179916382</v>
      </c>
      <c r="L816" t="s">
        <v>1665</v>
      </c>
      <c r="M816">
        <v>0.14498230000000001</v>
      </c>
      <c r="N816" t="s">
        <v>170</v>
      </c>
      <c r="O816">
        <v>4.6187992999999997E-2</v>
      </c>
      <c r="P816" t="s">
        <v>168</v>
      </c>
      <c r="Q816" s="4">
        <v>4.5056023000000001E-2</v>
      </c>
      <c r="R816" t="s">
        <v>363</v>
      </c>
      <c r="S816">
        <v>0.18051828</v>
      </c>
      <c r="T816" t="s">
        <v>1665</v>
      </c>
      <c r="U816">
        <v>8.2437425999999994E-2</v>
      </c>
      <c r="V816" t="s">
        <v>202</v>
      </c>
      <c r="W816">
        <v>6.4238495999999992E-2</v>
      </c>
    </row>
    <row r="817" spans="1:23" x14ac:dyDescent="0.25">
      <c r="A817" s="3" t="str">
        <f>HYPERLINK("http://ids.si.edu/ids/deliveryService?id=NMAH-MAH-9939F","NMAH-MAH-9939F")</f>
        <v>NMAH-MAH-9939F</v>
      </c>
      <c r="B817" s="3" t="s">
        <v>2129</v>
      </c>
      <c r="C817" s="3">
        <v>882228</v>
      </c>
      <c r="D817" s="3" t="s">
        <v>424</v>
      </c>
      <c r="E817" s="4" t="s">
        <v>2130</v>
      </c>
      <c r="F817" t="s">
        <v>60</v>
      </c>
      <c r="G817">
        <v>0.95497643947601318</v>
      </c>
      <c r="H817" t="s">
        <v>1284</v>
      </c>
      <c r="I817">
        <v>0.66633123159408569</v>
      </c>
      <c r="J817" t="s">
        <v>374</v>
      </c>
      <c r="K817" s="4">
        <v>0.6242249608039856</v>
      </c>
      <c r="L817" t="s">
        <v>65</v>
      </c>
      <c r="M817">
        <v>0.40700157999999997</v>
      </c>
      <c r="N817" t="s">
        <v>782</v>
      </c>
      <c r="O817">
        <v>8.4001859999999998E-2</v>
      </c>
      <c r="P817" t="s">
        <v>183</v>
      </c>
      <c r="Q817" s="4">
        <v>4.0950387999999997E-2</v>
      </c>
      <c r="R817" t="s">
        <v>678</v>
      </c>
      <c r="S817">
        <v>0.38235477000000001</v>
      </c>
      <c r="T817" t="s">
        <v>426</v>
      </c>
      <c r="U817">
        <v>0.19667789999999999</v>
      </c>
      <c r="V817" t="s">
        <v>336</v>
      </c>
      <c r="W817">
        <v>8.1192559999999997E-2</v>
      </c>
    </row>
    <row r="818" spans="1:23" x14ac:dyDescent="0.25">
      <c r="A818" s="3" t="str">
        <f>HYPERLINK("http://ids.si.edu/ids/deliveryService?id=NMAH-AHB2006q23548","NMAH-AHB2006q23548")</f>
        <v>NMAH-AHB2006q23548</v>
      </c>
      <c r="B818" s="3" t="s">
        <v>2131</v>
      </c>
      <c r="C818" s="3">
        <v>663346</v>
      </c>
      <c r="D818" s="3" t="s">
        <v>424</v>
      </c>
      <c r="E818" s="4" t="s">
        <v>425</v>
      </c>
      <c r="F818" t="s">
        <v>440</v>
      </c>
      <c r="G818">
        <v>0.93626922369003296</v>
      </c>
      <c r="H818" t="s">
        <v>1127</v>
      </c>
      <c r="I818">
        <v>0.83834624290466309</v>
      </c>
      <c r="J818" t="s">
        <v>441</v>
      </c>
      <c r="K818" s="4">
        <v>0.73208904266357422</v>
      </c>
      <c r="L818" t="s">
        <v>303</v>
      </c>
      <c r="M818">
        <v>0.54623323999999995</v>
      </c>
      <c r="N818" t="s">
        <v>528</v>
      </c>
      <c r="O818">
        <v>4.8287156999999997E-2</v>
      </c>
      <c r="P818" t="s">
        <v>523</v>
      </c>
      <c r="Q818" s="4">
        <v>3.9393842000000012E-2</v>
      </c>
      <c r="R818" t="s">
        <v>303</v>
      </c>
      <c r="S818">
        <v>0.13208880000000001</v>
      </c>
      <c r="T818" t="s">
        <v>523</v>
      </c>
      <c r="U818">
        <v>5.045376E-2</v>
      </c>
      <c r="V818" t="s">
        <v>459</v>
      </c>
      <c r="W818">
        <v>4.8532825000000002E-2</v>
      </c>
    </row>
    <row r="819" spans="1:23" x14ac:dyDescent="0.25">
      <c r="A819" s="3" t="str">
        <f>HYPERLINK("http://ids.si.edu/ids/deliveryService?id=NMAH-AHB2006q23837","NMAH-AHB2006q23837")</f>
        <v>NMAH-AHB2006q23837</v>
      </c>
      <c r="B819" s="3" t="s">
        <v>2132</v>
      </c>
      <c r="C819" s="3">
        <v>1192691</v>
      </c>
      <c r="D819" s="3" t="s">
        <v>424</v>
      </c>
      <c r="E819" s="4" t="s">
        <v>425</v>
      </c>
      <c r="F819" t="s">
        <v>440</v>
      </c>
      <c r="G819">
        <v>0.8994249701499939</v>
      </c>
      <c r="H819" t="s">
        <v>301</v>
      </c>
      <c r="I819">
        <v>0.54185628890991211</v>
      </c>
      <c r="L819" t="s">
        <v>303</v>
      </c>
      <c r="M819">
        <v>0.9459805</v>
      </c>
      <c r="N819" t="s">
        <v>459</v>
      </c>
      <c r="O819">
        <v>3.4823235000000001E-2</v>
      </c>
      <c r="P819" t="s">
        <v>2133</v>
      </c>
      <c r="Q819" s="4">
        <v>1.9337101E-3</v>
      </c>
      <c r="R819" t="s">
        <v>303</v>
      </c>
      <c r="S819">
        <v>0.91914810000000002</v>
      </c>
      <c r="T819" t="s">
        <v>459</v>
      </c>
      <c r="U819">
        <v>3.6231630000000001E-2</v>
      </c>
      <c r="V819" t="s">
        <v>523</v>
      </c>
      <c r="W819">
        <v>5.2580363000000003E-3</v>
      </c>
    </row>
    <row r="820" spans="1:23" x14ac:dyDescent="0.25">
      <c r="A820" s="3" t="str">
        <f>HYPERLINK("http://ids.si.edu/ids/deliveryService?id=NMAH-AHB2017q074264","NMAH-AHB2017q074264")</f>
        <v>NMAH-AHB2017q074264</v>
      </c>
      <c r="B820" s="3" t="s">
        <v>2134</v>
      </c>
      <c r="C820" s="3">
        <v>606370</v>
      </c>
      <c r="D820" s="3" t="s">
        <v>424</v>
      </c>
      <c r="E820" s="4" t="s">
        <v>672</v>
      </c>
      <c r="F820" t="s">
        <v>256</v>
      </c>
      <c r="G820">
        <v>0.90057075023651123</v>
      </c>
      <c r="H820" t="s">
        <v>396</v>
      </c>
      <c r="I820">
        <v>0.86589276790618896</v>
      </c>
      <c r="J820" t="s">
        <v>2135</v>
      </c>
      <c r="K820" s="4">
        <v>0.83819162845611572</v>
      </c>
      <c r="L820" t="s">
        <v>397</v>
      </c>
      <c r="M820">
        <v>0.29436543999999998</v>
      </c>
      <c r="N820" t="s">
        <v>45</v>
      </c>
      <c r="O820">
        <v>0.20136793</v>
      </c>
      <c r="P820" t="s">
        <v>426</v>
      </c>
      <c r="Q820" s="4">
        <v>0.10363219999999999</v>
      </c>
      <c r="R820" t="s">
        <v>673</v>
      </c>
      <c r="S820">
        <v>0.43075609999999998</v>
      </c>
      <c r="T820" t="s">
        <v>148</v>
      </c>
      <c r="U820">
        <v>6.2642429999999999E-2</v>
      </c>
      <c r="V820" t="s">
        <v>45</v>
      </c>
      <c r="W820">
        <v>6.1173730000000003E-2</v>
      </c>
    </row>
    <row r="821" spans="1:23" x14ac:dyDescent="0.25">
      <c r="A821" s="3" t="str">
        <f>HYPERLINK("http://ids.si.edu/ids/deliveryService?id=NMAH-2001-8583","NMAH-2001-8583")</f>
        <v>NMAH-2001-8583</v>
      </c>
      <c r="B821" s="3" t="s">
        <v>2136</v>
      </c>
      <c r="C821" s="3">
        <v>1196307</v>
      </c>
      <c r="D821" s="3" t="s">
        <v>424</v>
      </c>
      <c r="E821" s="4" t="s">
        <v>2137</v>
      </c>
      <c r="F821" t="s">
        <v>2138</v>
      </c>
      <c r="G821">
        <v>0.78438824415206909</v>
      </c>
      <c r="H821" t="s">
        <v>50</v>
      </c>
      <c r="I821">
        <v>0.71872144937515259</v>
      </c>
      <c r="J821" t="s">
        <v>147</v>
      </c>
      <c r="K821" s="4">
        <v>0.66044336557388306</v>
      </c>
      <c r="L821" t="s">
        <v>95</v>
      </c>
      <c r="M821">
        <v>0.47504917000000002</v>
      </c>
      <c r="N821" t="s">
        <v>93</v>
      </c>
      <c r="O821">
        <v>0.31059554</v>
      </c>
      <c r="P821" t="s">
        <v>312</v>
      </c>
      <c r="Q821" s="4">
        <v>4.4758587999999988E-2</v>
      </c>
      <c r="R821" t="s">
        <v>95</v>
      </c>
      <c r="S821">
        <v>0.44698392999999997</v>
      </c>
      <c r="T821" t="s">
        <v>93</v>
      </c>
      <c r="U821">
        <v>8.87936E-2</v>
      </c>
      <c r="V821" t="s">
        <v>157</v>
      </c>
      <c r="W821">
        <v>3.0617656E-2</v>
      </c>
    </row>
    <row r="822" spans="1:23" x14ac:dyDescent="0.25">
      <c r="A822" s="3" t="str">
        <f>HYPERLINK("http://ids.si.edu/ids/deliveryService?id=NMAH-AHB2010q66499","NMAH-AHB2010q66499")</f>
        <v>NMAH-AHB2010q66499</v>
      </c>
      <c r="B822" s="3" t="s">
        <v>2139</v>
      </c>
      <c r="C822" s="3">
        <v>1335676</v>
      </c>
      <c r="D822" s="3" t="s">
        <v>424</v>
      </c>
      <c r="E822" s="4" t="s">
        <v>626</v>
      </c>
      <c r="F822" t="s">
        <v>1191</v>
      </c>
      <c r="G822">
        <v>0.95589083433151245</v>
      </c>
      <c r="H822" t="s">
        <v>2140</v>
      </c>
      <c r="I822">
        <v>0.83358091115951538</v>
      </c>
      <c r="J822" t="s">
        <v>301</v>
      </c>
      <c r="K822" s="4">
        <v>0.68597954511642456</v>
      </c>
      <c r="L822" t="s">
        <v>1871</v>
      </c>
      <c r="M822">
        <v>0.10482582</v>
      </c>
      <c r="N822" t="s">
        <v>2141</v>
      </c>
      <c r="O822">
        <v>7.0572204999999999E-2</v>
      </c>
      <c r="P822" t="s">
        <v>948</v>
      </c>
      <c r="Q822" s="4">
        <v>5.7803594000000007E-2</v>
      </c>
      <c r="R822" t="s">
        <v>926</v>
      </c>
      <c r="S822">
        <v>0.41862769999999999</v>
      </c>
      <c r="T822" t="s">
        <v>2142</v>
      </c>
      <c r="U822">
        <v>0.13993602999999999</v>
      </c>
      <c r="V822" t="s">
        <v>159</v>
      </c>
      <c r="W822">
        <v>6.2946210000000002E-2</v>
      </c>
    </row>
    <row r="823" spans="1:23" x14ac:dyDescent="0.25">
      <c r="A823" s="3" t="str">
        <f>HYPERLINK("http://ids.si.edu/ids/deliveryService?id=NMAH-AHB2006q22028","NMAH-AHB2006q22028")</f>
        <v>NMAH-AHB2006q22028</v>
      </c>
      <c r="B823" s="3" t="s">
        <v>2143</v>
      </c>
      <c r="C823" s="3">
        <v>676241</v>
      </c>
      <c r="D823" s="3" t="s">
        <v>424</v>
      </c>
      <c r="E823" s="4" t="s">
        <v>425</v>
      </c>
      <c r="F823" t="s">
        <v>543</v>
      </c>
      <c r="G823">
        <v>0.8685373067855835</v>
      </c>
      <c r="H823" t="s">
        <v>2144</v>
      </c>
      <c r="I823">
        <v>0.82201087474822998</v>
      </c>
      <c r="J823" t="s">
        <v>433</v>
      </c>
      <c r="K823" s="4">
        <v>0.57596498727798462</v>
      </c>
      <c r="L823" t="s">
        <v>65</v>
      </c>
      <c r="M823">
        <v>0.75316300000000003</v>
      </c>
      <c r="N823" t="s">
        <v>77</v>
      </c>
      <c r="O823">
        <v>0.13541175</v>
      </c>
      <c r="P823" t="s">
        <v>66</v>
      </c>
      <c r="Q823" s="4">
        <v>3.515633E-2</v>
      </c>
      <c r="R823" t="s">
        <v>152</v>
      </c>
      <c r="S823">
        <v>0.73792019999999992</v>
      </c>
      <c r="T823" t="s">
        <v>66</v>
      </c>
      <c r="U823">
        <v>8.074808E-2</v>
      </c>
      <c r="V823" t="s">
        <v>65</v>
      </c>
      <c r="W823">
        <v>4.8013880000000002E-2</v>
      </c>
    </row>
    <row r="824" spans="1:23" x14ac:dyDescent="0.25">
      <c r="A824" s="3" t="str">
        <f>HYPERLINK("http://ids.si.edu/ids/deliveryService?id=NMAH-MAH-56497","NMAH-MAH-56497")</f>
        <v>NMAH-MAH-56497</v>
      </c>
      <c r="B824" s="3" t="s">
        <v>2145</v>
      </c>
      <c r="C824" s="3">
        <v>605952</v>
      </c>
      <c r="D824" s="3" t="s">
        <v>424</v>
      </c>
      <c r="E824" s="4" t="s">
        <v>565</v>
      </c>
      <c r="F824" t="s">
        <v>2066</v>
      </c>
      <c r="G824">
        <v>0.9677460789680481</v>
      </c>
      <c r="H824" t="s">
        <v>433</v>
      </c>
      <c r="I824">
        <v>0.92583620548248291</v>
      </c>
      <c r="J824" t="s">
        <v>2146</v>
      </c>
      <c r="K824" s="4">
        <v>0.85471147298812866</v>
      </c>
      <c r="L824" t="s">
        <v>481</v>
      </c>
      <c r="M824">
        <v>0.99161119999999991</v>
      </c>
      <c r="N824" t="s">
        <v>182</v>
      </c>
      <c r="O824">
        <v>7.4557066000000014E-3</v>
      </c>
      <c r="P824" t="s">
        <v>482</v>
      </c>
      <c r="Q824" s="4">
        <v>1.4759484E-4</v>
      </c>
      <c r="R824" t="s">
        <v>481</v>
      </c>
      <c r="S824">
        <v>0.97231232999999995</v>
      </c>
      <c r="T824" t="s">
        <v>182</v>
      </c>
      <c r="U824">
        <v>2.7578169999999999E-2</v>
      </c>
      <c r="V824" t="s">
        <v>420</v>
      </c>
      <c r="W824">
        <v>4.3500168000000013E-5</v>
      </c>
    </row>
    <row r="825" spans="1:23" x14ac:dyDescent="0.25">
      <c r="A825" s="3" t="str">
        <f>HYPERLINK("http://ids.si.edu/ids/deliveryService?id=NMAH-2007-1284","NMAH-2007-1284")</f>
        <v>NMAH-2007-1284</v>
      </c>
      <c r="B825" s="3" t="s">
        <v>2147</v>
      </c>
      <c r="C825" s="3">
        <v>1320092</v>
      </c>
      <c r="D825" s="3" t="s">
        <v>424</v>
      </c>
      <c r="E825" s="4" t="s">
        <v>2148</v>
      </c>
      <c r="F825" t="s">
        <v>2149</v>
      </c>
      <c r="G825">
        <v>0.81451761722564697</v>
      </c>
      <c r="H825" t="s">
        <v>1685</v>
      </c>
      <c r="I825">
        <v>0.77598607540130615</v>
      </c>
      <c r="J825" t="s">
        <v>2150</v>
      </c>
      <c r="K825" s="4">
        <v>0.77173620462417603</v>
      </c>
      <c r="L825" t="s">
        <v>202</v>
      </c>
      <c r="M825">
        <v>0.10864892600000001</v>
      </c>
      <c r="N825" t="s">
        <v>52</v>
      </c>
      <c r="O825">
        <v>8.3448690000000006E-2</v>
      </c>
      <c r="P825" t="s">
        <v>1657</v>
      </c>
      <c r="Q825" s="4">
        <v>7.2218450000000003E-2</v>
      </c>
      <c r="R825" t="s">
        <v>231</v>
      </c>
      <c r="S825">
        <v>0.39302564000000001</v>
      </c>
      <c r="T825" t="s">
        <v>1657</v>
      </c>
      <c r="U825">
        <v>8.8129070000000004E-2</v>
      </c>
      <c r="V825" t="s">
        <v>320</v>
      </c>
      <c r="W825">
        <v>6.6671679999999997E-2</v>
      </c>
    </row>
    <row r="826" spans="1:23" x14ac:dyDescent="0.25">
      <c r="A826" s="3" t="str">
        <f>HYPERLINK("http://ids.si.edu/ids/deliveryService?id=NMAH-AHB2010q66138-001","NMAH-AHB2010q66138-001")</f>
        <v>NMAH-AHB2010q66138-001</v>
      </c>
      <c r="B826" s="3" t="s">
        <v>2151</v>
      </c>
      <c r="C826" s="3">
        <v>892856</v>
      </c>
      <c r="D826" s="3" t="s">
        <v>424</v>
      </c>
      <c r="E826" s="4" t="s">
        <v>469</v>
      </c>
      <c r="L826" t="s">
        <v>93</v>
      </c>
      <c r="M826">
        <v>0.69353986000000001</v>
      </c>
      <c r="N826" t="s">
        <v>95</v>
      </c>
      <c r="O826">
        <v>6.1411154000000003E-2</v>
      </c>
      <c r="P826" t="s">
        <v>364</v>
      </c>
      <c r="Q826" s="4">
        <v>4.7655860000000001E-2</v>
      </c>
      <c r="R826" t="s">
        <v>93</v>
      </c>
      <c r="S826">
        <v>0.45817439999999998</v>
      </c>
      <c r="T826" t="s">
        <v>95</v>
      </c>
      <c r="U826">
        <v>9.3792909999999993E-2</v>
      </c>
      <c r="V826" t="s">
        <v>312</v>
      </c>
      <c r="W826">
        <v>8.9647050000000006E-2</v>
      </c>
    </row>
    <row r="827" spans="1:23" x14ac:dyDescent="0.25">
      <c r="A827" s="3" t="str">
        <f>HYPERLINK("http://ids.si.edu/ids/deliveryService?id=NMAH-AHB2017q008560","NMAH-AHB2017q008560")</f>
        <v>NMAH-AHB2017q008560</v>
      </c>
      <c r="B827" s="3" t="s">
        <v>2152</v>
      </c>
      <c r="C827" s="3">
        <v>374541</v>
      </c>
      <c r="D827" s="3" t="s">
        <v>424</v>
      </c>
      <c r="E827" s="4" t="s">
        <v>59</v>
      </c>
      <c r="F827" t="s">
        <v>60</v>
      </c>
      <c r="G827">
        <v>0.97171288728713989</v>
      </c>
      <c r="H827" t="s">
        <v>2153</v>
      </c>
      <c r="I827">
        <v>0.86218470335006714</v>
      </c>
      <c r="J827" t="s">
        <v>361</v>
      </c>
      <c r="K827" s="4">
        <v>0.67478096485137939</v>
      </c>
      <c r="L827" t="s">
        <v>29</v>
      </c>
      <c r="M827">
        <v>0.19660136</v>
      </c>
      <c r="N827" t="s">
        <v>341</v>
      </c>
      <c r="O827">
        <v>0.10353190499999999</v>
      </c>
      <c r="P827" t="s">
        <v>876</v>
      </c>
      <c r="Q827" s="4">
        <v>6.345634E-2</v>
      </c>
      <c r="R827" t="s">
        <v>65</v>
      </c>
      <c r="S827">
        <v>0.27965000000000001</v>
      </c>
      <c r="T827" t="s">
        <v>275</v>
      </c>
      <c r="U827">
        <v>4.7740150000000002E-2</v>
      </c>
      <c r="V827" t="s">
        <v>274</v>
      </c>
      <c r="W827">
        <v>4.3782929999999998E-2</v>
      </c>
    </row>
    <row r="828" spans="1:23" x14ac:dyDescent="0.25">
      <c r="A828" s="3" t="str">
        <f>HYPERLINK("http://ids.si.edu/ids/deliveryService?id=NMAH-AHB2010q66220-001","NMAH-AHB2010q66220-001")</f>
        <v>NMAH-AHB2010q66220-001</v>
      </c>
      <c r="B828" s="3" t="s">
        <v>2154</v>
      </c>
      <c r="C828" s="3">
        <v>1054224</v>
      </c>
      <c r="D828" s="3" t="s">
        <v>424</v>
      </c>
      <c r="E828" s="4" t="s">
        <v>469</v>
      </c>
      <c r="F828" t="s">
        <v>91</v>
      </c>
      <c r="G828">
        <v>0.88283330202102661</v>
      </c>
      <c r="H828" t="s">
        <v>1578</v>
      </c>
      <c r="I828">
        <v>0.7564733624458313</v>
      </c>
      <c r="J828" t="s">
        <v>541</v>
      </c>
      <c r="K828" s="4">
        <v>0.75620657205581665</v>
      </c>
      <c r="L828" t="s">
        <v>93</v>
      </c>
      <c r="M828">
        <v>0.30071949999999997</v>
      </c>
      <c r="N828" t="s">
        <v>129</v>
      </c>
      <c r="O828">
        <v>0.10627834999999999</v>
      </c>
      <c r="P828" t="s">
        <v>805</v>
      </c>
      <c r="Q828" s="4">
        <v>7.2681665000000006E-2</v>
      </c>
      <c r="R828" t="s">
        <v>93</v>
      </c>
      <c r="S828">
        <v>0.34668781999999998</v>
      </c>
      <c r="T828" t="s">
        <v>673</v>
      </c>
      <c r="U828">
        <v>0.12606582</v>
      </c>
      <c r="V828" t="s">
        <v>209</v>
      </c>
      <c r="W828">
        <v>9.2298694000000001E-2</v>
      </c>
    </row>
    <row r="829" spans="1:23" x14ac:dyDescent="0.25">
      <c r="A829" s="3" t="str">
        <f>HYPERLINK("http://ids.si.edu/ids/deliveryService?id=NMAH-AHB2016q043635","NMAH-AHB2016q043635")</f>
        <v>NMAH-AHB2016q043635</v>
      </c>
      <c r="B829" s="3" t="s">
        <v>2155</v>
      </c>
      <c r="C829" s="3">
        <v>606208</v>
      </c>
      <c r="D829" s="3" t="s">
        <v>424</v>
      </c>
      <c r="E829" s="4" t="s">
        <v>174</v>
      </c>
      <c r="F829" t="s">
        <v>543</v>
      </c>
      <c r="G829">
        <v>0.99001467227935791</v>
      </c>
      <c r="H829" t="s">
        <v>720</v>
      </c>
      <c r="I829">
        <v>0.95426434278488159</v>
      </c>
      <c r="J829" t="s">
        <v>433</v>
      </c>
      <c r="K829" s="4">
        <v>0.95300602912902832</v>
      </c>
      <c r="L829" t="s">
        <v>174</v>
      </c>
      <c r="M829">
        <v>0.95639219999999991</v>
      </c>
      <c r="N829" t="s">
        <v>536</v>
      </c>
      <c r="O829">
        <v>7.2690719999999997E-3</v>
      </c>
      <c r="P829" t="s">
        <v>544</v>
      </c>
      <c r="Q829" s="4">
        <v>6.3416849999999997E-3</v>
      </c>
      <c r="R829" t="s">
        <v>174</v>
      </c>
      <c r="S829">
        <v>0.7071364</v>
      </c>
      <c r="T829" t="s">
        <v>536</v>
      </c>
      <c r="U829">
        <v>3.2627910000000003E-2</v>
      </c>
      <c r="V829" t="s">
        <v>544</v>
      </c>
      <c r="W829">
        <v>3.0660234000000001E-2</v>
      </c>
    </row>
    <row r="830" spans="1:23" x14ac:dyDescent="0.25">
      <c r="A830" s="3" t="str">
        <f>HYPERLINK("http://ids.si.edu/ids/deliveryService?id=NMAH-ET2010-32720-009","NMAH-ET2010-32720-009")</f>
        <v>NMAH-ET2010-32720-009</v>
      </c>
      <c r="B830" s="3" t="s">
        <v>2156</v>
      </c>
      <c r="C830" s="3">
        <v>1294188</v>
      </c>
      <c r="D830" s="3" t="s">
        <v>424</v>
      </c>
      <c r="E830" s="4" t="s">
        <v>538</v>
      </c>
      <c r="F830" t="s">
        <v>525</v>
      </c>
      <c r="G830">
        <v>0.81129640340805054</v>
      </c>
      <c r="H830" t="s">
        <v>264</v>
      </c>
      <c r="I830">
        <v>0.76440292596817017</v>
      </c>
      <c r="J830" t="s">
        <v>2157</v>
      </c>
      <c r="K830" s="4">
        <v>0.76106375455856323</v>
      </c>
      <c r="L830" t="s">
        <v>65</v>
      </c>
      <c r="M830">
        <v>0.5504789000000001</v>
      </c>
      <c r="N830" t="s">
        <v>376</v>
      </c>
      <c r="O830">
        <v>0.13586938000000001</v>
      </c>
      <c r="P830" t="s">
        <v>225</v>
      </c>
      <c r="Q830" s="4">
        <v>4.4814497000000002E-2</v>
      </c>
      <c r="R830" t="s">
        <v>225</v>
      </c>
      <c r="S830">
        <v>0.22887784</v>
      </c>
      <c r="T830" t="s">
        <v>65</v>
      </c>
      <c r="U830">
        <v>8.611444E-2</v>
      </c>
      <c r="V830" t="s">
        <v>376</v>
      </c>
      <c r="W830">
        <v>4.5323259999999997E-2</v>
      </c>
    </row>
    <row r="831" spans="1:23" x14ac:dyDescent="0.25">
      <c r="A831" s="3" t="str">
        <f>HYPERLINK("http://ids.si.edu/ids/deliveryService?id=NMAH-90-8531","NMAH-90-8531")</f>
        <v>NMAH-90-8531</v>
      </c>
      <c r="B831" s="3" t="s">
        <v>2158</v>
      </c>
      <c r="C831" s="3">
        <v>606107</v>
      </c>
      <c r="D831" s="3" t="s">
        <v>424</v>
      </c>
      <c r="E831" s="4" t="s">
        <v>492</v>
      </c>
      <c r="F831" t="s">
        <v>434</v>
      </c>
      <c r="G831">
        <v>0.99285084009170532</v>
      </c>
      <c r="H831" t="s">
        <v>433</v>
      </c>
      <c r="I831">
        <v>0.98997634649276733</v>
      </c>
      <c r="J831" t="s">
        <v>434</v>
      </c>
      <c r="K831" s="4">
        <v>0.9852524995803833</v>
      </c>
      <c r="L831" t="s">
        <v>492</v>
      </c>
      <c r="M831">
        <v>0.70959382999999998</v>
      </c>
      <c r="N831" t="s">
        <v>552</v>
      </c>
      <c r="O831">
        <v>0.29013450000000002</v>
      </c>
      <c r="P831" t="s">
        <v>436</v>
      </c>
      <c r="Q831" s="4">
        <v>2.337339E-4</v>
      </c>
      <c r="R831" t="s">
        <v>492</v>
      </c>
      <c r="S831">
        <v>0.63878509999999999</v>
      </c>
      <c r="T831" t="s">
        <v>552</v>
      </c>
      <c r="U831">
        <v>0.36086094000000002</v>
      </c>
      <c r="V831" t="s">
        <v>436</v>
      </c>
      <c r="W831">
        <v>1.8619327E-4</v>
      </c>
    </row>
    <row r="832" spans="1:23" x14ac:dyDescent="0.25">
      <c r="A832" s="3" t="str">
        <f>HYPERLINK("http://ids.si.edu/ids/deliveryService?id=NMAH-AHB2006q25329","NMAH-AHB2006q25329")</f>
        <v>NMAH-AHB2006q25329</v>
      </c>
      <c r="B832" s="3" t="s">
        <v>2159</v>
      </c>
      <c r="C832" s="3">
        <v>1293805</v>
      </c>
      <c r="D832" s="3" t="s">
        <v>424</v>
      </c>
      <c r="E832" s="4" t="s">
        <v>425</v>
      </c>
      <c r="F832" t="s">
        <v>440</v>
      </c>
      <c r="G832">
        <v>0.8960382342338562</v>
      </c>
      <c r="H832" t="s">
        <v>607</v>
      </c>
      <c r="I832">
        <v>0.77579003572463989</v>
      </c>
      <c r="J832" t="s">
        <v>441</v>
      </c>
      <c r="K832" s="4">
        <v>0.71206289529800415</v>
      </c>
      <c r="L832" t="s">
        <v>303</v>
      </c>
      <c r="M832">
        <v>0.57487374999999996</v>
      </c>
      <c r="N832" t="s">
        <v>516</v>
      </c>
      <c r="O832">
        <v>0.14522351</v>
      </c>
      <c r="P832" t="s">
        <v>528</v>
      </c>
      <c r="Q832" s="4">
        <v>9.1494770000000003E-2</v>
      </c>
      <c r="R832" t="s">
        <v>303</v>
      </c>
      <c r="S832">
        <v>0.26406067999999999</v>
      </c>
      <c r="T832" t="s">
        <v>443</v>
      </c>
      <c r="U832">
        <v>0.10648481999999999</v>
      </c>
      <c r="V832" t="s">
        <v>528</v>
      </c>
      <c r="W832">
        <v>5.0511599999999997E-2</v>
      </c>
    </row>
    <row r="833" spans="1:23" x14ac:dyDescent="0.25">
      <c r="A833" s="3" t="str">
        <f>HYPERLINK("http://ids.si.edu/ids/deliveryService?id=NMAH-AHB2010q66216-001","NMAH-AHB2010q66216-001")</f>
        <v>NMAH-AHB2010q66216-001</v>
      </c>
      <c r="B833" s="3" t="s">
        <v>2160</v>
      </c>
      <c r="C833" s="3">
        <v>1054225</v>
      </c>
      <c r="D833" s="3" t="s">
        <v>424</v>
      </c>
      <c r="E833" s="4" t="s">
        <v>469</v>
      </c>
      <c r="F833" t="s">
        <v>471</v>
      </c>
      <c r="G833">
        <v>0.57654184103012085</v>
      </c>
      <c r="H833" t="s">
        <v>1124</v>
      </c>
      <c r="I833">
        <v>0.5294640064239502</v>
      </c>
      <c r="J833" t="s">
        <v>604</v>
      </c>
      <c r="K833" s="4">
        <v>0.52791756391525269</v>
      </c>
      <c r="L833" t="s">
        <v>93</v>
      </c>
      <c r="M833">
        <v>0.31805295</v>
      </c>
      <c r="N833" t="s">
        <v>1093</v>
      </c>
      <c r="O833">
        <v>0.21711965999999999</v>
      </c>
      <c r="P833" t="s">
        <v>226</v>
      </c>
      <c r="Q833" s="4">
        <v>7.133246E-2</v>
      </c>
      <c r="R833" t="s">
        <v>93</v>
      </c>
      <c r="S833">
        <v>0.58472959999999996</v>
      </c>
      <c r="T833" t="s">
        <v>673</v>
      </c>
      <c r="U833">
        <v>0.16769774000000001</v>
      </c>
      <c r="V833" t="s">
        <v>1099</v>
      </c>
      <c r="W833">
        <v>3.6966376000000002E-2</v>
      </c>
    </row>
    <row r="834" spans="1:23" x14ac:dyDescent="0.25">
      <c r="A834" s="3" t="str">
        <f>HYPERLINK("http://ids.si.edu/ids/deliveryService?id=NMAH-ET2015-01157","NMAH-ET2015-01157")</f>
        <v>NMAH-ET2015-01157</v>
      </c>
      <c r="B834" s="3" t="s">
        <v>2161</v>
      </c>
      <c r="C834" s="3">
        <v>1461426</v>
      </c>
      <c r="D834" s="3" t="s">
        <v>424</v>
      </c>
      <c r="E834" s="4" t="s">
        <v>2162</v>
      </c>
      <c r="F834" t="s">
        <v>101</v>
      </c>
      <c r="G834">
        <v>0.97279584407806396</v>
      </c>
      <c r="H834" t="s">
        <v>2163</v>
      </c>
      <c r="I834">
        <v>0.96881407499313354</v>
      </c>
      <c r="J834" t="s">
        <v>736</v>
      </c>
      <c r="K834" s="4">
        <v>0.95470666885375977</v>
      </c>
      <c r="L834" t="s">
        <v>958</v>
      </c>
      <c r="M834">
        <v>0.90058819999999995</v>
      </c>
      <c r="N834" t="s">
        <v>107</v>
      </c>
      <c r="O834">
        <v>2.0165285000000002E-2</v>
      </c>
      <c r="P834" t="s">
        <v>106</v>
      </c>
      <c r="Q834" s="4">
        <v>1.3933279999999999E-2</v>
      </c>
      <c r="R834" t="s">
        <v>107</v>
      </c>
      <c r="S834">
        <v>0.64461919999999995</v>
      </c>
      <c r="T834" t="s">
        <v>134</v>
      </c>
      <c r="U834">
        <v>0.13470446</v>
      </c>
      <c r="V834" t="s">
        <v>958</v>
      </c>
      <c r="W834">
        <v>4.5261879999999997E-2</v>
      </c>
    </row>
    <row r="835" spans="1:23" x14ac:dyDescent="0.25">
      <c r="A835" s="3" t="str">
        <f>HYPERLINK("http://ids.si.edu/ids/deliveryService?id=NMAH-78-8903","NMAH-78-8903")</f>
        <v>NMAH-78-8903</v>
      </c>
      <c r="B835" s="3" t="s">
        <v>2164</v>
      </c>
      <c r="C835" s="3">
        <v>606328</v>
      </c>
      <c r="D835" s="3" t="s">
        <v>424</v>
      </c>
      <c r="E835" s="4" t="s">
        <v>174</v>
      </c>
      <c r="F835" t="s">
        <v>91</v>
      </c>
      <c r="G835">
        <v>0.88283330202102661</v>
      </c>
      <c r="H835" t="s">
        <v>543</v>
      </c>
      <c r="I835">
        <v>0.85172343254089355</v>
      </c>
      <c r="J835" t="s">
        <v>2144</v>
      </c>
      <c r="K835" s="4">
        <v>0.73162233829498291</v>
      </c>
      <c r="L835" t="s">
        <v>174</v>
      </c>
      <c r="M835">
        <v>0.40880307999999999</v>
      </c>
      <c r="N835" t="s">
        <v>544</v>
      </c>
      <c r="O835">
        <v>0.28087889999999999</v>
      </c>
      <c r="P835" t="s">
        <v>338</v>
      </c>
      <c r="Q835" s="4">
        <v>0.14286172</v>
      </c>
      <c r="R835" t="s">
        <v>175</v>
      </c>
      <c r="S835">
        <v>0.11629613</v>
      </c>
      <c r="T835" t="s">
        <v>149</v>
      </c>
      <c r="U835">
        <v>7.2277569999999999E-2</v>
      </c>
      <c r="V835" t="s">
        <v>338</v>
      </c>
      <c r="W835">
        <v>7.0260020000000006E-2</v>
      </c>
    </row>
    <row r="836" spans="1:23" x14ac:dyDescent="0.25">
      <c r="A836" s="3" t="str">
        <f>HYPERLINK("http://ids.si.edu/ids/deliveryService?id=NMAH-JN2014-5042","NMAH-JN2014-5042")</f>
        <v>NMAH-JN2014-5042</v>
      </c>
      <c r="B836" s="3" t="s">
        <v>2165</v>
      </c>
      <c r="C836" s="3">
        <v>1451296</v>
      </c>
      <c r="D836" s="3" t="s">
        <v>424</v>
      </c>
      <c r="E836" s="4" t="s">
        <v>588</v>
      </c>
      <c r="F836" t="s">
        <v>590</v>
      </c>
      <c r="G836">
        <v>0.97634774446487427</v>
      </c>
      <c r="H836" t="s">
        <v>589</v>
      </c>
      <c r="I836">
        <v>0.97272872924804688</v>
      </c>
      <c r="J836" t="s">
        <v>591</v>
      </c>
      <c r="K836" s="4">
        <v>0.96453672647476196</v>
      </c>
      <c r="L836" t="s">
        <v>1028</v>
      </c>
      <c r="M836">
        <v>0.14373936000000001</v>
      </c>
      <c r="N836" t="s">
        <v>364</v>
      </c>
      <c r="O836">
        <v>8.2788854999999995E-2</v>
      </c>
      <c r="P836" t="s">
        <v>1454</v>
      </c>
      <c r="Q836" s="4">
        <v>7.8302145000000004E-2</v>
      </c>
      <c r="R836" t="s">
        <v>364</v>
      </c>
      <c r="S836">
        <v>0.14881655999999999</v>
      </c>
      <c r="T836" t="s">
        <v>1028</v>
      </c>
      <c r="U836">
        <v>7.6653639999999995E-2</v>
      </c>
      <c r="V836" t="s">
        <v>86</v>
      </c>
      <c r="W836">
        <v>6.5592594000000004E-2</v>
      </c>
    </row>
    <row r="837" spans="1:23" x14ac:dyDescent="0.25">
      <c r="A837" s="3" t="str">
        <f>HYPERLINK("http://ids.si.edu/ids/deliveryService?id=NMAH-92-12959","NMAH-92-12959")</f>
        <v>NMAH-92-12959</v>
      </c>
      <c r="B837" s="3" t="s">
        <v>2166</v>
      </c>
      <c r="C837" s="3">
        <v>605504</v>
      </c>
      <c r="D837" s="3" t="s">
        <v>424</v>
      </c>
      <c r="E837" s="4" t="s">
        <v>492</v>
      </c>
      <c r="F837" t="s">
        <v>434</v>
      </c>
      <c r="G837">
        <v>0.99217426776885986</v>
      </c>
      <c r="H837" t="s">
        <v>434</v>
      </c>
      <c r="I837">
        <v>0.98124951124191284</v>
      </c>
      <c r="J837" t="s">
        <v>433</v>
      </c>
      <c r="K837" s="4">
        <v>0.9811597466468811</v>
      </c>
      <c r="L837" t="s">
        <v>492</v>
      </c>
      <c r="M837">
        <v>0.85439169999999998</v>
      </c>
      <c r="N837" t="s">
        <v>552</v>
      </c>
      <c r="O837">
        <v>0.14555407000000001</v>
      </c>
      <c r="P837" t="s">
        <v>437</v>
      </c>
      <c r="Q837" s="4">
        <v>2.5893654E-5</v>
      </c>
      <c r="R837" t="s">
        <v>492</v>
      </c>
      <c r="S837">
        <v>0.82183030000000001</v>
      </c>
      <c r="T837" t="s">
        <v>552</v>
      </c>
      <c r="U837">
        <v>0.17679739</v>
      </c>
      <c r="V837" t="s">
        <v>451</v>
      </c>
      <c r="W837">
        <v>4.9587099999999994E-4</v>
      </c>
    </row>
    <row r="838" spans="1:23" x14ac:dyDescent="0.25">
      <c r="A838" s="3" t="str">
        <f>HYPERLINK("http://ids.si.edu/ids/deliveryService?id=NMAH-ET2018-00641-000001","NMAH-ET2018-00641-000001")</f>
        <v>NMAH-ET2018-00641-000001</v>
      </c>
      <c r="B838" s="3" t="s">
        <v>2167</v>
      </c>
      <c r="C838" s="3">
        <v>1862966</v>
      </c>
      <c r="D838" s="3" t="s">
        <v>424</v>
      </c>
      <c r="E838" s="4" t="s">
        <v>2168</v>
      </c>
      <c r="F838" t="s">
        <v>61</v>
      </c>
      <c r="G838">
        <v>0.91213947534561157</v>
      </c>
      <c r="H838" t="s">
        <v>220</v>
      </c>
      <c r="I838">
        <v>0.6421319842338562</v>
      </c>
      <c r="J838" t="s">
        <v>111</v>
      </c>
      <c r="K838" s="4">
        <v>0.58408588171005249</v>
      </c>
      <c r="L838" t="s">
        <v>29</v>
      </c>
      <c r="M838">
        <v>0.35079250000000001</v>
      </c>
      <c r="N838" t="s">
        <v>66</v>
      </c>
      <c r="O838">
        <v>0.15158658999999999</v>
      </c>
      <c r="P838" t="s">
        <v>209</v>
      </c>
      <c r="Q838" s="4">
        <v>7.0355280000000006E-2</v>
      </c>
      <c r="R838" t="s">
        <v>66</v>
      </c>
      <c r="S838">
        <v>0.56610024000000003</v>
      </c>
      <c r="T838" t="s">
        <v>209</v>
      </c>
      <c r="U838">
        <v>0.10199453</v>
      </c>
      <c r="V838" t="s">
        <v>29</v>
      </c>
      <c r="W838">
        <v>7.0725220000000005E-2</v>
      </c>
    </row>
    <row r="839" spans="1:23" x14ac:dyDescent="0.25">
      <c r="A839" s="3" t="str">
        <f>HYPERLINK("http://ids.si.edu/ids/deliveryService?id=SIA-2003-43640","SIA-2003-43640")</f>
        <v>SIA-2003-43640</v>
      </c>
      <c r="B839" s="3" t="s">
        <v>2169</v>
      </c>
      <c r="C839" s="3">
        <v>1247016</v>
      </c>
      <c r="D839" s="3" t="s">
        <v>424</v>
      </c>
      <c r="E839" s="4" t="s">
        <v>793</v>
      </c>
      <c r="F839" t="s">
        <v>433</v>
      </c>
      <c r="G839">
        <v>0.98844742774963379</v>
      </c>
      <c r="H839" t="s">
        <v>535</v>
      </c>
      <c r="I839">
        <v>0.97513675689697266</v>
      </c>
      <c r="J839" t="s">
        <v>795</v>
      </c>
      <c r="K839" s="4">
        <v>0.96219009160995483</v>
      </c>
      <c r="L839" t="s">
        <v>536</v>
      </c>
      <c r="M839">
        <v>0.98415023000000001</v>
      </c>
      <c r="N839" t="s">
        <v>215</v>
      </c>
      <c r="O839">
        <v>7.0006869999999994E-3</v>
      </c>
      <c r="P839" t="s">
        <v>718</v>
      </c>
      <c r="Q839" s="4">
        <v>3.6909082000000002E-3</v>
      </c>
      <c r="R839" t="s">
        <v>536</v>
      </c>
      <c r="S839">
        <v>0.50876899999999992</v>
      </c>
      <c r="T839" t="s">
        <v>214</v>
      </c>
      <c r="U839">
        <v>0.18809414999999999</v>
      </c>
      <c r="V839" t="s">
        <v>239</v>
      </c>
      <c r="W839">
        <v>5.9382413000000002E-2</v>
      </c>
    </row>
    <row r="840" spans="1:23" x14ac:dyDescent="0.25">
      <c r="A840" s="3" t="str">
        <f>HYPERLINK("http://ids.si.edu/ids/deliveryService?id=NMAH-AHB2012q50275","NMAH-AHB2012q50275")</f>
        <v>NMAH-AHB2012q50275</v>
      </c>
      <c r="B840" s="3" t="s">
        <v>2170</v>
      </c>
      <c r="C840" s="3">
        <v>669535</v>
      </c>
      <c r="D840" s="3" t="s">
        <v>424</v>
      </c>
      <c r="E840" s="4" t="s">
        <v>425</v>
      </c>
      <c r="F840" t="s">
        <v>449</v>
      </c>
      <c r="G840">
        <v>0.92597520351409912</v>
      </c>
      <c r="H840" t="s">
        <v>126</v>
      </c>
      <c r="I840">
        <v>0.85451608896255493</v>
      </c>
      <c r="J840" t="s">
        <v>61</v>
      </c>
      <c r="K840" s="4">
        <v>0.85248786211013794</v>
      </c>
      <c r="L840" t="s">
        <v>65</v>
      </c>
      <c r="M840">
        <v>0.99892350000000008</v>
      </c>
      <c r="N840" t="s">
        <v>129</v>
      </c>
      <c r="O840">
        <v>1.1699733E-4</v>
      </c>
      <c r="P840" t="s">
        <v>209</v>
      </c>
      <c r="Q840" s="4">
        <v>7.401517E-5</v>
      </c>
      <c r="R840" t="s">
        <v>65</v>
      </c>
      <c r="S840">
        <v>0.89200360000000001</v>
      </c>
      <c r="T840" t="s">
        <v>134</v>
      </c>
      <c r="U840">
        <v>2.1318024000000001E-2</v>
      </c>
      <c r="V840" t="s">
        <v>129</v>
      </c>
      <c r="W840">
        <v>1.124055E-2</v>
      </c>
    </row>
    <row r="841" spans="1:23" x14ac:dyDescent="0.25">
      <c r="A841" s="3" t="str">
        <f>HYPERLINK("http://ids.si.edu/ids/deliveryService?id=NMAH-AHB2016q043061","NMAH-AHB2016q043061")</f>
        <v>NMAH-AHB2016q043061</v>
      </c>
      <c r="B841" s="3" t="s">
        <v>2171</v>
      </c>
      <c r="C841" s="3">
        <v>1628383</v>
      </c>
      <c r="D841" s="3" t="s">
        <v>424</v>
      </c>
      <c r="E841" s="4" t="s">
        <v>606</v>
      </c>
      <c r="F841" t="s">
        <v>61</v>
      </c>
      <c r="G841">
        <v>0.96137368679046631</v>
      </c>
      <c r="H841" t="s">
        <v>112</v>
      </c>
      <c r="I841">
        <v>0.83145445585250854</v>
      </c>
      <c r="J841" t="s">
        <v>447</v>
      </c>
      <c r="K841" s="4">
        <v>0.68980127573013306</v>
      </c>
      <c r="L841" t="s">
        <v>65</v>
      </c>
      <c r="M841">
        <v>0.13162056</v>
      </c>
      <c r="N841" t="s">
        <v>426</v>
      </c>
      <c r="O841">
        <v>9.1574610000000001E-2</v>
      </c>
      <c r="P841" t="s">
        <v>43</v>
      </c>
      <c r="Q841" s="4">
        <v>7.4269370000000001E-2</v>
      </c>
      <c r="R841" t="s">
        <v>66</v>
      </c>
      <c r="S841">
        <v>0.1177204</v>
      </c>
      <c r="T841" t="s">
        <v>209</v>
      </c>
      <c r="U841">
        <v>4.3474484000000001E-2</v>
      </c>
      <c r="V841" t="s">
        <v>79</v>
      </c>
      <c r="W841">
        <v>4.2448778E-2</v>
      </c>
    </row>
    <row r="842" spans="1:23" x14ac:dyDescent="0.25">
      <c r="A842" s="3" t="str">
        <f>HYPERLINK("http://ids.si.edu/ids/deliveryService?id=NMAH-MAH-56313","NMAH-MAH-56313")</f>
        <v>NMAH-MAH-56313</v>
      </c>
      <c r="B842" s="3" t="s">
        <v>2172</v>
      </c>
      <c r="C842" s="3">
        <v>606017</v>
      </c>
      <c r="D842" s="3" t="s">
        <v>424</v>
      </c>
      <c r="E842" s="4" t="s">
        <v>480</v>
      </c>
      <c r="F842" t="s">
        <v>2067</v>
      </c>
      <c r="G842">
        <v>0.95473593473434448</v>
      </c>
      <c r="H842" t="s">
        <v>2066</v>
      </c>
      <c r="I842">
        <v>0.93183475732803345</v>
      </c>
      <c r="J842" t="s">
        <v>2173</v>
      </c>
      <c r="K842" s="4">
        <v>0.9247516393661499</v>
      </c>
      <c r="L842" t="s">
        <v>481</v>
      </c>
      <c r="M842">
        <v>0.9914288</v>
      </c>
      <c r="N842" t="s">
        <v>182</v>
      </c>
      <c r="O842">
        <v>8.0651719999999989E-3</v>
      </c>
      <c r="P842" t="s">
        <v>177</v>
      </c>
      <c r="Q842" s="4">
        <v>9.634132E-5</v>
      </c>
      <c r="R842" t="s">
        <v>481</v>
      </c>
      <c r="S842">
        <v>0.58836049999999995</v>
      </c>
      <c r="T842" t="s">
        <v>177</v>
      </c>
      <c r="U842">
        <v>0.12488829999999999</v>
      </c>
      <c r="V842" t="s">
        <v>182</v>
      </c>
      <c r="W842">
        <v>8.0750144999999995E-2</v>
      </c>
    </row>
    <row r="843" spans="1:23" x14ac:dyDescent="0.25">
      <c r="A843" s="3" t="str">
        <f>HYPERLINK("http://ids.si.edu/ids/deliveryService?id=NMAH-ET2012-12541","NMAH-ET2012-12541")</f>
        <v>NMAH-ET2012-12541</v>
      </c>
      <c r="B843" s="3" t="s">
        <v>2174</v>
      </c>
      <c r="C843" s="3">
        <v>1419477</v>
      </c>
      <c r="D843" s="3" t="s">
        <v>424</v>
      </c>
      <c r="E843" s="4" t="s">
        <v>2175</v>
      </c>
      <c r="F843" t="s">
        <v>2176</v>
      </c>
      <c r="G843">
        <v>0.95087254047393799</v>
      </c>
      <c r="H843" t="s">
        <v>2177</v>
      </c>
      <c r="I843">
        <v>0.91101551055908203</v>
      </c>
      <c r="J843" t="s">
        <v>2178</v>
      </c>
      <c r="K843" s="4">
        <v>0.90392488241195679</v>
      </c>
      <c r="L843" t="s">
        <v>240</v>
      </c>
      <c r="M843">
        <v>0.19520262999999999</v>
      </c>
      <c r="N843" t="s">
        <v>1933</v>
      </c>
      <c r="O843">
        <v>0.13483234999999999</v>
      </c>
      <c r="P843" t="s">
        <v>411</v>
      </c>
      <c r="Q843" s="4">
        <v>5.0540410000000001E-2</v>
      </c>
      <c r="R843" t="s">
        <v>743</v>
      </c>
      <c r="S843">
        <v>0.57366455000000005</v>
      </c>
      <c r="T843" t="s">
        <v>241</v>
      </c>
      <c r="U843">
        <v>0.11510223999999999</v>
      </c>
      <c r="V843" t="s">
        <v>1143</v>
      </c>
      <c r="W843">
        <v>7.3633680000000007E-2</v>
      </c>
    </row>
    <row r="844" spans="1:23" x14ac:dyDescent="0.25">
      <c r="A844" s="3" t="str">
        <f>HYPERLINK("http://ids.si.edu/ids/deliveryService?id=NMAH-AHB2018q015831","NMAH-AHB2018q015831")</f>
        <v>NMAH-AHB2018q015831</v>
      </c>
      <c r="B844" s="3" t="s">
        <v>2179</v>
      </c>
      <c r="C844" s="3">
        <v>1835876</v>
      </c>
      <c r="D844" s="3" t="s">
        <v>424</v>
      </c>
      <c r="E844" s="4" t="s">
        <v>2080</v>
      </c>
      <c r="F844" t="s">
        <v>61</v>
      </c>
      <c r="G844">
        <v>0.97122108936309814</v>
      </c>
      <c r="H844" t="s">
        <v>112</v>
      </c>
      <c r="I844">
        <v>0.84106016159057617</v>
      </c>
      <c r="J844" t="s">
        <v>220</v>
      </c>
      <c r="K844" s="4">
        <v>0.74434882402420044</v>
      </c>
      <c r="L844" t="s">
        <v>29</v>
      </c>
      <c r="M844">
        <v>0.53706675999999998</v>
      </c>
      <c r="N844" t="s">
        <v>77</v>
      </c>
      <c r="O844">
        <v>0.14236621999999999</v>
      </c>
      <c r="P844" t="s">
        <v>65</v>
      </c>
      <c r="Q844" s="4">
        <v>9.5152064999999994E-2</v>
      </c>
      <c r="R844" t="s">
        <v>29</v>
      </c>
      <c r="S844">
        <v>0.3745656</v>
      </c>
      <c r="T844" t="s">
        <v>563</v>
      </c>
      <c r="U844">
        <v>7.3721140000000004E-2</v>
      </c>
      <c r="V844" t="s">
        <v>1260</v>
      </c>
      <c r="W844">
        <v>7.0944510000000002E-2</v>
      </c>
    </row>
    <row r="845" spans="1:23" x14ac:dyDescent="0.25">
      <c r="A845" s="3" t="str">
        <f>HYPERLINK("http://ids.si.edu/ids/deliveryService?id=NMAH-ET2017-16997","NMAH-ET2017-16997")</f>
        <v>NMAH-ET2017-16997</v>
      </c>
      <c r="B845" s="3" t="s">
        <v>2180</v>
      </c>
      <c r="C845" s="3">
        <v>1859445</v>
      </c>
      <c r="D845" s="3" t="s">
        <v>424</v>
      </c>
      <c r="E845" s="4" t="s">
        <v>2181</v>
      </c>
      <c r="F845" t="s">
        <v>91</v>
      </c>
      <c r="G845">
        <v>0.91031128168106079</v>
      </c>
      <c r="H845" t="s">
        <v>1357</v>
      </c>
      <c r="I845">
        <v>0.89562952518463135</v>
      </c>
      <c r="J845" t="s">
        <v>1127</v>
      </c>
      <c r="K845" s="4">
        <v>0.87597876787185669</v>
      </c>
      <c r="L845" t="s">
        <v>443</v>
      </c>
      <c r="M845">
        <v>0.39531066999999998</v>
      </c>
      <c r="N845" t="s">
        <v>529</v>
      </c>
      <c r="O845">
        <v>0.15354904999999999</v>
      </c>
      <c r="P845" t="s">
        <v>1093</v>
      </c>
      <c r="Q845" s="4">
        <v>0.12079991399999999</v>
      </c>
      <c r="R845" t="s">
        <v>1086</v>
      </c>
      <c r="S845">
        <v>0.36012915000000001</v>
      </c>
      <c r="T845" t="s">
        <v>443</v>
      </c>
      <c r="U845">
        <v>5.8480795000000002E-2</v>
      </c>
      <c r="V845" t="s">
        <v>95</v>
      </c>
      <c r="W845">
        <v>3.7795166999999998E-2</v>
      </c>
    </row>
    <row r="846" spans="1:23" x14ac:dyDescent="0.25">
      <c r="A846" s="3" t="str">
        <f>HYPERLINK("http://ids.si.edu/ids/deliveryService?id=NMAH-2004-51797","NMAH-2004-51797")</f>
        <v>NMAH-2004-51797</v>
      </c>
      <c r="B846" s="3" t="s">
        <v>2182</v>
      </c>
      <c r="C846" s="3">
        <v>748895</v>
      </c>
      <c r="D846" s="3" t="s">
        <v>424</v>
      </c>
      <c r="E846" s="4" t="s">
        <v>2183</v>
      </c>
      <c r="F846" t="s">
        <v>101</v>
      </c>
      <c r="G846">
        <v>0.99083328247070313</v>
      </c>
      <c r="H846" t="s">
        <v>2184</v>
      </c>
      <c r="I846">
        <v>0.98817455768585205</v>
      </c>
      <c r="J846" t="s">
        <v>2185</v>
      </c>
      <c r="K846" s="4">
        <v>0.98189371824264526</v>
      </c>
      <c r="L846" t="s">
        <v>134</v>
      </c>
      <c r="M846">
        <v>0.96826909999999988</v>
      </c>
      <c r="N846" t="s">
        <v>108</v>
      </c>
      <c r="O846">
        <v>2.2151917E-2</v>
      </c>
      <c r="P846" t="s">
        <v>584</v>
      </c>
      <c r="Q846" s="4">
        <v>5.7219094999999996E-3</v>
      </c>
      <c r="R846" t="s">
        <v>134</v>
      </c>
      <c r="S846">
        <v>0.96868235000000003</v>
      </c>
      <c r="T846" t="s">
        <v>2186</v>
      </c>
      <c r="U846">
        <v>8.0026760000000002E-3</v>
      </c>
      <c r="V846" t="s">
        <v>584</v>
      </c>
      <c r="W846">
        <v>7.5860869999999992E-3</v>
      </c>
    </row>
    <row r="847" spans="1:23" x14ac:dyDescent="0.25">
      <c r="A847" s="3" t="str">
        <f>HYPERLINK("http://ids.si.edu/ids/deliveryService?id=NMAH-91-22158","NMAH-91-22158")</f>
        <v>NMAH-91-22158</v>
      </c>
      <c r="B847" s="3" t="s">
        <v>2187</v>
      </c>
      <c r="C847" s="3">
        <v>606190</v>
      </c>
      <c r="D847" s="3" t="s">
        <v>424</v>
      </c>
      <c r="E847" s="4" t="s">
        <v>793</v>
      </c>
      <c r="F847" t="s">
        <v>795</v>
      </c>
      <c r="G847">
        <v>0.9606282114982605</v>
      </c>
      <c r="H847" t="s">
        <v>433</v>
      </c>
      <c r="I847">
        <v>0.93950396776199341</v>
      </c>
      <c r="J847" t="s">
        <v>214</v>
      </c>
      <c r="K847" s="4">
        <v>0.93497693538665771</v>
      </c>
      <c r="L847" t="s">
        <v>536</v>
      </c>
      <c r="M847">
        <v>0.66247403999999999</v>
      </c>
      <c r="N847" t="s">
        <v>718</v>
      </c>
      <c r="O847">
        <v>0.18100516</v>
      </c>
      <c r="P847" t="s">
        <v>549</v>
      </c>
      <c r="Q847" s="4">
        <v>3.3002999999999998E-2</v>
      </c>
      <c r="R847" t="s">
        <v>536</v>
      </c>
      <c r="S847">
        <v>0.43231679999999989</v>
      </c>
      <c r="T847" t="s">
        <v>82</v>
      </c>
      <c r="U847">
        <v>8.5156075999999997E-2</v>
      </c>
      <c r="V847" t="s">
        <v>214</v>
      </c>
      <c r="W847">
        <v>6.9494150000000005E-2</v>
      </c>
    </row>
    <row r="848" spans="1:23" x14ac:dyDescent="0.25">
      <c r="A848" s="3" t="str">
        <f>HYPERLINK("http://ids.si.edu/ids/deliveryService?id=NMAH-AHB2012q01791","NMAH-AHB2012q01791")</f>
        <v>NMAH-AHB2012q01791</v>
      </c>
      <c r="B848" s="3" t="s">
        <v>2188</v>
      </c>
      <c r="C848" s="3">
        <v>1057514</v>
      </c>
      <c r="D848" s="3" t="s">
        <v>424</v>
      </c>
      <c r="E848" s="4" t="s">
        <v>425</v>
      </c>
      <c r="F848" t="s">
        <v>440</v>
      </c>
      <c r="G848">
        <v>0.85463535785675049</v>
      </c>
      <c r="H848" t="s">
        <v>441</v>
      </c>
      <c r="I848">
        <v>0.71206289529800415</v>
      </c>
      <c r="J848" t="s">
        <v>615</v>
      </c>
      <c r="K848" s="4">
        <v>0.60989159345626831</v>
      </c>
      <c r="L848" t="s">
        <v>570</v>
      </c>
      <c r="M848">
        <v>0.61545395999999997</v>
      </c>
      <c r="N848" t="s">
        <v>338</v>
      </c>
      <c r="O848">
        <v>0.12320012</v>
      </c>
      <c r="P848" t="s">
        <v>571</v>
      </c>
      <c r="Q848" s="4">
        <v>0.11673935000000001</v>
      </c>
      <c r="R848" t="s">
        <v>442</v>
      </c>
      <c r="S848">
        <v>0.23116422</v>
      </c>
      <c r="T848" t="s">
        <v>338</v>
      </c>
      <c r="U848">
        <v>8.4292400000000003E-2</v>
      </c>
      <c r="V848" t="s">
        <v>258</v>
      </c>
      <c r="W848">
        <v>7.9699225999999998E-2</v>
      </c>
    </row>
    <row r="849" spans="1:23" x14ac:dyDescent="0.25">
      <c r="A849" s="3" t="str">
        <f>HYPERLINK("http://ids.si.edu/ids/deliveryService?id=NMAH-AHB2012q01865","NMAH-AHB2012q01865")</f>
        <v>NMAH-AHB2012q01865</v>
      </c>
      <c r="B849" s="3" t="s">
        <v>2189</v>
      </c>
      <c r="C849" s="3">
        <v>1058309</v>
      </c>
      <c r="D849" s="3" t="s">
        <v>424</v>
      </c>
      <c r="E849" s="4" t="s">
        <v>425</v>
      </c>
      <c r="F849" t="s">
        <v>440</v>
      </c>
      <c r="G849">
        <v>0.83075118064880371</v>
      </c>
      <c r="H849" t="s">
        <v>607</v>
      </c>
      <c r="I849">
        <v>0.8114808201789856</v>
      </c>
      <c r="J849" t="s">
        <v>441</v>
      </c>
      <c r="K849" s="4">
        <v>0.71206289529800415</v>
      </c>
      <c r="L849" t="s">
        <v>303</v>
      </c>
      <c r="M849">
        <v>0.72884059999999995</v>
      </c>
      <c r="N849" t="s">
        <v>528</v>
      </c>
      <c r="O849">
        <v>0.103096016</v>
      </c>
      <c r="P849" t="s">
        <v>529</v>
      </c>
      <c r="Q849" s="4">
        <v>4.9230040000000003E-2</v>
      </c>
      <c r="R849" t="s">
        <v>528</v>
      </c>
      <c r="S849">
        <v>0.16866218999999999</v>
      </c>
      <c r="T849" t="s">
        <v>529</v>
      </c>
      <c r="U849">
        <v>0.12495563</v>
      </c>
      <c r="V849" t="s">
        <v>303</v>
      </c>
      <c r="W849">
        <v>0.12154378</v>
      </c>
    </row>
    <row r="850" spans="1:23" x14ac:dyDescent="0.25">
      <c r="A850" s="3" t="str">
        <f>HYPERLINK("http://ids.si.edu/ids/deliveryService?id=NMAH-AHB2012q50043","NMAH-AHB2012q50043")</f>
        <v>NMAH-AHB2012q50043</v>
      </c>
      <c r="B850" s="3" t="s">
        <v>2190</v>
      </c>
      <c r="C850" s="3">
        <v>672968</v>
      </c>
      <c r="D850" s="3" t="s">
        <v>424</v>
      </c>
      <c r="E850" s="4" t="s">
        <v>425</v>
      </c>
      <c r="F850" t="s">
        <v>441</v>
      </c>
      <c r="G850">
        <v>0.71206289529800415</v>
      </c>
      <c r="H850" t="s">
        <v>440</v>
      </c>
      <c r="I850">
        <v>0.69074934720993042</v>
      </c>
      <c r="J850" t="s">
        <v>607</v>
      </c>
      <c r="K850" s="4">
        <v>0.65593868494033813</v>
      </c>
      <c r="L850" t="s">
        <v>529</v>
      </c>
      <c r="M850">
        <v>0.95995766000000005</v>
      </c>
      <c r="N850" t="s">
        <v>303</v>
      </c>
      <c r="O850">
        <v>2.4020039999999999E-2</v>
      </c>
      <c r="P850" t="s">
        <v>528</v>
      </c>
      <c r="Q850" s="4">
        <v>8.9848919999999995E-3</v>
      </c>
      <c r="R850" t="s">
        <v>528</v>
      </c>
      <c r="S850">
        <v>0.20473014</v>
      </c>
      <c r="T850" t="s">
        <v>303</v>
      </c>
      <c r="U850">
        <v>0.14177658000000001</v>
      </c>
      <c r="V850" t="s">
        <v>529</v>
      </c>
      <c r="W850">
        <v>9.6806959999999997E-2</v>
      </c>
    </row>
    <row r="851" spans="1:23" x14ac:dyDescent="0.25">
      <c r="A851" s="3" t="str">
        <f>HYPERLINK("http://ids.si.edu/ids/deliveryService?id=NMAH-AHB2018q015490","NMAH-AHB2018q015490")</f>
        <v>NMAH-AHB2018q015490</v>
      </c>
      <c r="B851" s="3" t="s">
        <v>2191</v>
      </c>
      <c r="C851" s="3">
        <v>1835505</v>
      </c>
      <c r="D851" s="3" t="s">
        <v>424</v>
      </c>
      <c r="E851" s="4" t="s">
        <v>2080</v>
      </c>
      <c r="F851" t="s">
        <v>61</v>
      </c>
      <c r="G851">
        <v>0.96675789356231689</v>
      </c>
      <c r="H851" t="s">
        <v>112</v>
      </c>
      <c r="I851">
        <v>0.86162483692169189</v>
      </c>
      <c r="J851" t="s">
        <v>220</v>
      </c>
      <c r="K851" s="4">
        <v>0.6113312840461731</v>
      </c>
      <c r="L851" t="s">
        <v>29</v>
      </c>
      <c r="M851">
        <v>0.47724006000000002</v>
      </c>
      <c r="N851" t="s">
        <v>77</v>
      </c>
      <c r="O851">
        <v>0.32943872000000002</v>
      </c>
      <c r="P851" t="s">
        <v>65</v>
      </c>
      <c r="Q851" s="4">
        <v>5.2820140000000002E-2</v>
      </c>
      <c r="R851" t="s">
        <v>29</v>
      </c>
      <c r="S851">
        <v>0.45370834999999998</v>
      </c>
      <c r="T851" t="s">
        <v>260</v>
      </c>
      <c r="U851">
        <v>5.9589404999999998E-2</v>
      </c>
      <c r="V851" t="s">
        <v>77</v>
      </c>
      <c r="W851">
        <v>5.1628962E-2</v>
      </c>
    </row>
    <row r="852" spans="1:23" x14ac:dyDescent="0.25">
      <c r="A852" s="3" t="str">
        <f>HYPERLINK("http://ids.si.edu/ids/deliveryService?id=NMAH-AHB2017q007325","NMAH-AHB2017q007325")</f>
        <v>NMAH-AHB2017q007325</v>
      </c>
      <c r="B852" s="3" t="s">
        <v>2192</v>
      </c>
      <c r="C852" s="3">
        <v>1275745</v>
      </c>
      <c r="D852" s="3" t="s">
        <v>424</v>
      </c>
      <c r="E852" s="4" t="s">
        <v>59</v>
      </c>
      <c r="F852" t="s">
        <v>60</v>
      </c>
      <c r="G852">
        <v>0.97263365983963013</v>
      </c>
      <c r="H852" t="s">
        <v>428</v>
      </c>
      <c r="I852">
        <v>0.83863705396652222</v>
      </c>
      <c r="J852" t="s">
        <v>2193</v>
      </c>
      <c r="K852" s="4">
        <v>0.67043238878250122</v>
      </c>
      <c r="L852" t="s">
        <v>29</v>
      </c>
      <c r="M852">
        <v>0.23798247</v>
      </c>
      <c r="N852" t="s">
        <v>144</v>
      </c>
      <c r="O852">
        <v>0.12200016</v>
      </c>
      <c r="P852" t="s">
        <v>168</v>
      </c>
      <c r="Q852" s="4">
        <v>0.110325746</v>
      </c>
      <c r="R852" t="s">
        <v>167</v>
      </c>
      <c r="S852">
        <v>0.1411676</v>
      </c>
      <c r="T852" t="s">
        <v>536</v>
      </c>
      <c r="U852">
        <v>0.12380549</v>
      </c>
      <c r="V852" t="s">
        <v>2194</v>
      </c>
      <c r="W852">
        <v>0.108313575</v>
      </c>
    </row>
    <row r="853" spans="1:23" x14ac:dyDescent="0.25">
      <c r="A853" s="3" t="str">
        <f>HYPERLINK("http://ids.si.edu/ids/deliveryService?id=NMAH-MAH-56459","NMAH-MAH-56459")</f>
        <v>NMAH-MAH-56459</v>
      </c>
      <c r="B853" s="3" t="s">
        <v>2195</v>
      </c>
      <c r="C853" s="3">
        <v>605906</v>
      </c>
      <c r="D853" s="3" t="s">
        <v>424</v>
      </c>
      <c r="E853" s="4" t="s">
        <v>565</v>
      </c>
      <c r="F853" t="s">
        <v>2066</v>
      </c>
      <c r="G853">
        <v>0.96418499946594238</v>
      </c>
      <c r="H853" t="s">
        <v>2196</v>
      </c>
      <c r="I853">
        <v>0.9069979190826416</v>
      </c>
      <c r="J853" t="s">
        <v>179</v>
      </c>
      <c r="K853" s="4">
        <v>0.84535962343215942</v>
      </c>
      <c r="L853" t="s">
        <v>481</v>
      </c>
      <c r="M853">
        <v>0.90178853000000003</v>
      </c>
      <c r="N853" t="s">
        <v>182</v>
      </c>
      <c r="O853">
        <v>9.2301755999999999E-2</v>
      </c>
      <c r="P853" t="s">
        <v>412</v>
      </c>
      <c r="Q853" s="4">
        <v>4.3946979999999998E-3</v>
      </c>
      <c r="R853" t="s">
        <v>182</v>
      </c>
      <c r="S853">
        <v>0.50335854000000002</v>
      </c>
      <c r="T853" t="s">
        <v>481</v>
      </c>
      <c r="U853">
        <v>0.31218020000000002</v>
      </c>
      <c r="V853" t="s">
        <v>412</v>
      </c>
      <c r="W853">
        <v>6.6139840000000005E-2</v>
      </c>
    </row>
    <row r="854" spans="1:23" x14ac:dyDescent="0.25">
      <c r="A854" s="3" t="str">
        <f>HYPERLINK("http://ids.si.edu/ids/deliveryService?id=NMAH-ET2011-42877","NMAH-ET2011-42877")</f>
        <v>NMAH-ET2011-42877</v>
      </c>
      <c r="B854" s="3" t="s">
        <v>2197</v>
      </c>
      <c r="C854" s="3">
        <v>746753</v>
      </c>
      <c r="D854" s="3" t="s">
        <v>424</v>
      </c>
      <c r="E854" s="4" t="s">
        <v>2198</v>
      </c>
      <c r="F854" t="s">
        <v>433</v>
      </c>
      <c r="G854">
        <v>0.94081622362136841</v>
      </c>
      <c r="H854" t="s">
        <v>2199</v>
      </c>
      <c r="I854">
        <v>0.89199984073638916</v>
      </c>
      <c r="J854" t="s">
        <v>2200</v>
      </c>
      <c r="K854" s="4">
        <v>0.80819582939147949</v>
      </c>
      <c r="L854" t="s">
        <v>482</v>
      </c>
      <c r="M854">
        <v>0.99222710000000003</v>
      </c>
      <c r="N854" t="s">
        <v>2201</v>
      </c>
      <c r="O854">
        <v>2.3714273999999999E-3</v>
      </c>
      <c r="P854" t="s">
        <v>191</v>
      </c>
      <c r="Q854" s="4">
        <v>1.2506761999999999E-3</v>
      </c>
      <c r="R854" t="s">
        <v>482</v>
      </c>
      <c r="S854">
        <v>0.93718886000000001</v>
      </c>
      <c r="T854" t="s">
        <v>2202</v>
      </c>
      <c r="U854">
        <v>3.1618E-2</v>
      </c>
      <c r="V854" t="s">
        <v>191</v>
      </c>
      <c r="W854">
        <v>1.6465487000000001E-2</v>
      </c>
    </row>
    <row r="855" spans="1:23" x14ac:dyDescent="0.25">
      <c r="A855" s="3" t="str">
        <f>HYPERLINK("http://ids.si.edu/ids/deliveryService?id=NMAH-84-2089","NMAH-84-2089")</f>
        <v>NMAH-84-2089</v>
      </c>
      <c r="B855" s="3" t="s">
        <v>2203</v>
      </c>
      <c r="C855" s="3">
        <v>605507</v>
      </c>
      <c r="D855" s="3" t="s">
        <v>424</v>
      </c>
      <c r="E855" s="4" t="s">
        <v>492</v>
      </c>
      <c r="F855" t="s">
        <v>434</v>
      </c>
      <c r="G855">
        <v>0.99317771196365356</v>
      </c>
      <c r="H855" t="s">
        <v>433</v>
      </c>
      <c r="I855">
        <v>0.98844742774963379</v>
      </c>
      <c r="J855" t="s">
        <v>434</v>
      </c>
      <c r="K855" s="4">
        <v>0.98691296577453613</v>
      </c>
      <c r="L855" t="s">
        <v>492</v>
      </c>
      <c r="M855">
        <v>0.78055909999999995</v>
      </c>
      <c r="N855" t="s">
        <v>552</v>
      </c>
      <c r="O855">
        <v>0.21913077</v>
      </c>
      <c r="P855" t="s">
        <v>568</v>
      </c>
      <c r="Q855" s="4">
        <v>4.0912626000000003E-5</v>
      </c>
      <c r="R855" t="s">
        <v>492</v>
      </c>
      <c r="S855">
        <v>0.81036096999999996</v>
      </c>
      <c r="T855" t="s">
        <v>552</v>
      </c>
      <c r="U855">
        <v>0.18945303999999999</v>
      </c>
      <c r="V855" t="s">
        <v>436</v>
      </c>
      <c r="W855">
        <v>7.6925709999999995E-5</v>
      </c>
    </row>
    <row r="856" spans="1:23" x14ac:dyDescent="0.25">
      <c r="A856" s="3" t="str">
        <f>HYPERLINK("http://ids.si.edu/ids/deliveryService?id=NMAH-AHB2006q23577","NMAH-AHB2006q23577")</f>
        <v>NMAH-AHB2006q23577</v>
      </c>
      <c r="B856" s="3" t="s">
        <v>2204</v>
      </c>
      <c r="C856" s="3">
        <v>663343</v>
      </c>
      <c r="D856" s="3" t="s">
        <v>424</v>
      </c>
      <c r="E856" s="4" t="s">
        <v>425</v>
      </c>
      <c r="F856" t="s">
        <v>1127</v>
      </c>
      <c r="G856">
        <v>0.92052924633026123</v>
      </c>
      <c r="H856" t="s">
        <v>440</v>
      </c>
      <c r="I856">
        <v>0.8994249701499939</v>
      </c>
      <c r="J856" t="s">
        <v>1357</v>
      </c>
      <c r="K856" s="4">
        <v>0.87944662570953369</v>
      </c>
      <c r="L856" t="s">
        <v>303</v>
      </c>
      <c r="M856">
        <v>0.20678685999999999</v>
      </c>
      <c r="N856" t="s">
        <v>501</v>
      </c>
      <c r="O856">
        <v>6.5933420000000006E-2</v>
      </c>
      <c r="P856" t="s">
        <v>442</v>
      </c>
      <c r="Q856" s="4">
        <v>5.6491934000000001E-2</v>
      </c>
      <c r="R856" t="s">
        <v>303</v>
      </c>
      <c r="S856">
        <v>0.14394577</v>
      </c>
      <c r="T856" t="s">
        <v>443</v>
      </c>
      <c r="U856">
        <v>4.2019483000000003E-2</v>
      </c>
      <c r="V856" t="s">
        <v>913</v>
      </c>
      <c r="W856">
        <v>3.8326844999999998E-2</v>
      </c>
    </row>
    <row r="857" spans="1:23" x14ac:dyDescent="0.25">
      <c r="A857" s="3" t="str">
        <f>HYPERLINK("http://ids.si.edu/ids/deliveryService?id=NMAH-MAH-56426","NMAH-MAH-56426")</f>
        <v>NMAH-MAH-56426</v>
      </c>
      <c r="B857" s="3" t="s">
        <v>2205</v>
      </c>
      <c r="C857" s="3">
        <v>605937</v>
      </c>
      <c r="D857" s="3" t="s">
        <v>424</v>
      </c>
      <c r="E857" s="4" t="s">
        <v>565</v>
      </c>
      <c r="F857" t="s">
        <v>2066</v>
      </c>
      <c r="G857">
        <v>0.95136547088623047</v>
      </c>
      <c r="H857" t="s">
        <v>2173</v>
      </c>
      <c r="I857">
        <v>0.87263590097427368</v>
      </c>
      <c r="J857" t="s">
        <v>178</v>
      </c>
      <c r="K857" s="4">
        <v>0.85213512182235718</v>
      </c>
      <c r="L857" t="s">
        <v>481</v>
      </c>
      <c r="M857">
        <v>0.8171371999999999</v>
      </c>
      <c r="N857" t="s">
        <v>182</v>
      </c>
      <c r="O857">
        <v>0.18219896999999999</v>
      </c>
      <c r="P857" t="s">
        <v>420</v>
      </c>
      <c r="Q857" s="4">
        <v>1.0221346E-4</v>
      </c>
      <c r="R857" t="s">
        <v>182</v>
      </c>
      <c r="S857">
        <v>0.52415080000000003</v>
      </c>
      <c r="T857" t="s">
        <v>481</v>
      </c>
      <c r="U857">
        <v>0.25046659999999998</v>
      </c>
      <c r="V857" t="s">
        <v>177</v>
      </c>
      <c r="W857">
        <v>0.13711825</v>
      </c>
    </row>
    <row r="858" spans="1:23" x14ac:dyDescent="0.25">
      <c r="A858" s="3" t="str">
        <f>HYPERLINK("http://ids.si.edu/ids/deliveryService?id=NMAH-83-15926","NMAH-83-15926")</f>
        <v>NMAH-83-15926</v>
      </c>
      <c r="B858" s="3" t="s">
        <v>2206</v>
      </c>
      <c r="C858" s="3">
        <v>605745</v>
      </c>
      <c r="D858" s="3" t="s">
        <v>424</v>
      </c>
      <c r="E858" s="4" t="s">
        <v>2207</v>
      </c>
      <c r="F858" t="s">
        <v>434</v>
      </c>
      <c r="G858">
        <v>0.98612016439437866</v>
      </c>
      <c r="H858" t="s">
        <v>434</v>
      </c>
      <c r="I858">
        <v>0.98238497972488403</v>
      </c>
      <c r="J858" t="s">
        <v>433</v>
      </c>
      <c r="K858" s="4">
        <v>0.97865420579910278</v>
      </c>
      <c r="L858" t="s">
        <v>274</v>
      </c>
      <c r="M858">
        <v>0.1654735</v>
      </c>
      <c r="N858" t="s">
        <v>411</v>
      </c>
      <c r="O858">
        <v>0.10999950999999999</v>
      </c>
      <c r="P858" t="s">
        <v>275</v>
      </c>
      <c r="Q858" s="4">
        <v>7.3215890000000006E-2</v>
      </c>
      <c r="R858" t="s">
        <v>2208</v>
      </c>
      <c r="S858">
        <v>0.27120497999999998</v>
      </c>
      <c r="T858" t="s">
        <v>277</v>
      </c>
      <c r="U858">
        <v>9.3263349999999995E-2</v>
      </c>
      <c r="V858" t="s">
        <v>166</v>
      </c>
      <c r="W858">
        <v>6.7259429999999995E-2</v>
      </c>
    </row>
    <row r="859" spans="1:23" x14ac:dyDescent="0.25">
      <c r="A859" s="3" t="str">
        <f>HYPERLINK("http://ids.si.edu/ids/deliveryService?id=NMAH-ET2016-10515","NMAH-ET2016-10515")</f>
        <v>NMAH-ET2016-10515</v>
      </c>
      <c r="B859" s="3" t="s">
        <v>2209</v>
      </c>
      <c r="C859" s="3">
        <v>681403</v>
      </c>
      <c r="D859" s="3" t="s">
        <v>424</v>
      </c>
      <c r="E859" s="4" t="s">
        <v>2210</v>
      </c>
      <c r="F859" t="s">
        <v>519</v>
      </c>
      <c r="G859">
        <v>0.96967709064483643</v>
      </c>
      <c r="H859" t="s">
        <v>771</v>
      </c>
      <c r="I859">
        <v>0.85751616954803467</v>
      </c>
      <c r="J859" t="s">
        <v>728</v>
      </c>
      <c r="K859" s="4">
        <v>0.83586376905441284</v>
      </c>
      <c r="L859" t="s">
        <v>648</v>
      </c>
      <c r="M859">
        <v>0.18206316</v>
      </c>
      <c r="N859" t="s">
        <v>570</v>
      </c>
      <c r="O859">
        <v>0.10009602500000001</v>
      </c>
      <c r="P859" t="s">
        <v>658</v>
      </c>
      <c r="Q859" s="4">
        <v>7.4996779999999999E-2</v>
      </c>
      <c r="R859" t="s">
        <v>66</v>
      </c>
      <c r="S859">
        <v>0.13123898000000001</v>
      </c>
      <c r="T859" t="s">
        <v>495</v>
      </c>
      <c r="U859">
        <v>8.4741529999999995E-2</v>
      </c>
      <c r="V859" t="s">
        <v>151</v>
      </c>
      <c r="W859">
        <v>4.4821445000000001E-2</v>
      </c>
    </row>
    <row r="860" spans="1:23" x14ac:dyDescent="0.25">
      <c r="A860" s="3" t="str">
        <f>HYPERLINK("http://ids.si.edu/ids/deliveryService?id=NMAH-91-7484","NMAH-91-7484")</f>
        <v>NMAH-91-7484</v>
      </c>
      <c r="B860" s="3" t="s">
        <v>2211</v>
      </c>
      <c r="C860" s="3">
        <v>605514</v>
      </c>
      <c r="D860" s="3" t="s">
        <v>424</v>
      </c>
      <c r="E860" s="4" t="s">
        <v>492</v>
      </c>
      <c r="F860" t="s">
        <v>434</v>
      </c>
      <c r="G860">
        <v>0.99232023954391479</v>
      </c>
      <c r="H860" t="s">
        <v>434</v>
      </c>
      <c r="I860">
        <v>0.98348796367645264</v>
      </c>
      <c r="J860" t="s">
        <v>433</v>
      </c>
      <c r="K860" s="4">
        <v>0.98296278715133667</v>
      </c>
      <c r="L860" t="s">
        <v>492</v>
      </c>
      <c r="M860">
        <v>0.80954140000000008</v>
      </c>
      <c r="N860" t="s">
        <v>552</v>
      </c>
      <c r="O860">
        <v>0.19037001000000001</v>
      </c>
      <c r="P860" t="s">
        <v>437</v>
      </c>
      <c r="Q860" s="4">
        <v>3.5894306999999999E-5</v>
      </c>
      <c r="R860" t="s">
        <v>492</v>
      </c>
      <c r="S860">
        <v>0.87005705</v>
      </c>
      <c r="T860" t="s">
        <v>552</v>
      </c>
      <c r="U860">
        <v>0.12833855999999999</v>
      </c>
      <c r="V860" t="s">
        <v>451</v>
      </c>
      <c r="W860">
        <v>5.0648365999999992E-4</v>
      </c>
    </row>
    <row r="861" spans="1:23" x14ac:dyDescent="0.25">
      <c r="A861" s="3" t="str">
        <f>HYPERLINK("http://ids.si.edu/ids/deliveryService?id=NMAH-AHB2018q014694","NMAH-AHB2018q014694")</f>
        <v>NMAH-AHB2018q014694</v>
      </c>
      <c r="B861" s="3" t="s">
        <v>2212</v>
      </c>
      <c r="C861" s="3">
        <v>1192433</v>
      </c>
      <c r="D861" s="3" t="s">
        <v>424</v>
      </c>
      <c r="E861" s="4" t="s">
        <v>2213</v>
      </c>
      <c r="F861" t="s">
        <v>519</v>
      </c>
      <c r="G861">
        <v>0.94518786668777466</v>
      </c>
      <c r="H861" t="s">
        <v>604</v>
      </c>
      <c r="I861">
        <v>0.89023280143737793</v>
      </c>
      <c r="J861" t="s">
        <v>2214</v>
      </c>
      <c r="K861" s="4">
        <v>0.87534064054489136</v>
      </c>
      <c r="L861" t="s">
        <v>129</v>
      </c>
      <c r="M861">
        <v>0.63268310000000005</v>
      </c>
      <c r="N861" t="s">
        <v>65</v>
      </c>
      <c r="O861">
        <v>0.27627175999999998</v>
      </c>
      <c r="P861" t="s">
        <v>79</v>
      </c>
      <c r="Q861" s="4">
        <v>4.2685974000000002E-2</v>
      </c>
      <c r="R861" t="s">
        <v>65</v>
      </c>
      <c r="S861">
        <v>0.50032615999999996</v>
      </c>
      <c r="T861" t="s">
        <v>129</v>
      </c>
      <c r="U861">
        <v>0.32426608000000001</v>
      </c>
      <c r="V861" t="s">
        <v>66</v>
      </c>
      <c r="W861">
        <v>6.4262300000000008E-2</v>
      </c>
    </row>
    <row r="862" spans="1:23" x14ac:dyDescent="0.25">
      <c r="A862" s="3" t="str">
        <f>HYPERLINK("http://ids.si.edu/ids/deliveryService?id=NMAH-ET2014-41679","NMAH-ET2014-41679")</f>
        <v>NMAH-ET2014-41679</v>
      </c>
      <c r="B862" s="3" t="s">
        <v>2215</v>
      </c>
      <c r="C862" s="3">
        <v>1451009</v>
      </c>
      <c r="D862" s="3" t="s">
        <v>424</v>
      </c>
      <c r="E862" s="4" t="s">
        <v>588</v>
      </c>
      <c r="F862" t="s">
        <v>590</v>
      </c>
      <c r="G862">
        <v>0.97212892770767212</v>
      </c>
      <c r="H862" t="s">
        <v>591</v>
      </c>
      <c r="I862">
        <v>0.96453672647476196</v>
      </c>
      <c r="J862" t="s">
        <v>589</v>
      </c>
      <c r="K862" s="4">
        <v>0.90541964769363403</v>
      </c>
      <c r="L862" t="s">
        <v>35</v>
      </c>
      <c r="M862">
        <v>0.62008509999999994</v>
      </c>
      <c r="N862" t="s">
        <v>157</v>
      </c>
      <c r="O862">
        <v>0.25009039999999999</v>
      </c>
      <c r="P862" t="s">
        <v>83</v>
      </c>
      <c r="Q862" s="4">
        <v>4.7499E-2</v>
      </c>
      <c r="R862" t="s">
        <v>1710</v>
      </c>
      <c r="S862">
        <v>0.21788911999999999</v>
      </c>
      <c r="T862" t="s">
        <v>159</v>
      </c>
      <c r="U862">
        <v>0.21507971000000001</v>
      </c>
      <c r="V862" t="s">
        <v>706</v>
      </c>
      <c r="W862">
        <v>0.12894183000000001</v>
      </c>
    </row>
    <row r="863" spans="1:23" x14ac:dyDescent="0.25">
      <c r="A863" s="3" t="str">
        <f>HYPERLINK("http://ids.si.edu/ids/deliveryService?id=NMAH-AHB2006q24085","NMAH-AHB2006q24085")</f>
        <v>NMAH-AHB2006q24085</v>
      </c>
      <c r="B863" s="3" t="s">
        <v>2216</v>
      </c>
      <c r="C863" s="3">
        <v>674098</v>
      </c>
      <c r="D863" s="3" t="s">
        <v>424</v>
      </c>
      <c r="E863" s="4" t="s">
        <v>425</v>
      </c>
      <c r="F863" t="s">
        <v>440</v>
      </c>
      <c r="G863">
        <v>0.92447632551193237</v>
      </c>
      <c r="H863" t="s">
        <v>441</v>
      </c>
      <c r="I863">
        <v>0.6757805347442627</v>
      </c>
      <c r="J863" t="s">
        <v>607</v>
      </c>
      <c r="K863" s="4">
        <v>0.67059618234634399</v>
      </c>
      <c r="L863" t="s">
        <v>303</v>
      </c>
      <c r="M863">
        <v>0.92515736999999998</v>
      </c>
      <c r="N863" t="s">
        <v>459</v>
      </c>
      <c r="O863">
        <v>1.9140895000000002E-2</v>
      </c>
      <c r="P863" t="s">
        <v>430</v>
      </c>
      <c r="Q863" s="4">
        <v>6.2417309999999986E-3</v>
      </c>
      <c r="R863" t="s">
        <v>303</v>
      </c>
      <c r="S863">
        <v>0.31228790000000012</v>
      </c>
      <c r="T863" t="s">
        <v>443</v>
      </c>
      <c r="U863">
        <v>5.7117477E-2</v>
      </c>
      <c r="V863" t="s">
        <v>459</v>
      </c>
      <c r="W863">
        <v>4.8328623000000001E-2</v>
      </c>
    </row>
    <row r="864" spans="1:23" x14ac:dyDescent="0.25">
      <c r="A864" s="3" t="str">
        <f>HYPERLINK("http://ids.si.edu/ids/deliveryService?id=NMAH-AHB2017q072919","NMAH-AHB2017q072919")</f>
        <v>NMAH-AHB2017q072919</v>
      </c>
      <c r="B864" s="3" t="s">
        <v>2217</v>
      </c>
      <c r="C864" s="3">
        <v>605712</v>
      </c>
      <c r="D864" s="3" t="s">
        <v>424</v>
      </c>
      <c r="E864" s="4" t="s">
        <v>2207</v>
      </c>
      <c r="F864" t="s">
        <v>434</v>
      </c>
      <c r="G864">
        <v>0.87790864706039429</v>
      </c>
      <c r="H864" t="s">
        <v>2218</v>
      </c>
      <c r="I864">
        <v>0.86973822116851807</v>
      </c>
      <c r="J864" t="s">
        <v>433</v>
      </c>
      <c r="K864" s="4">
        <v>0.8690914511680603</v>
      </c>
      <c r="L864" t="s">
        <v>87</v>
      </c>
      <c r="M864">
        <v>0.39509112000000002</v>
      </c>
      <c r="N864" t="s">
        <v>83</v>
      </c>
      <c r="O864">
        <v>0.13644429</v>
      </c>
      <c r="P864" t="s">
        <v>436</v>
      </c>
      <c r="Q864" s="4">
        <v>9.9937559999999995E-2</v>
      </c>
      <c r="R864" t="s">
        <v>159</v>
      </c>
      <c r="S864">
        <v>0.33784320000000001</v>
      </c>
      <c r="T864" t="s">
        <v>83</v>
      </c>
      <c r="U864">
        <v>0.29187299999999999</v>
      </c>
      <c r="V864" t="s">
        <v>87</v>
      </c>
      <c r="W864">
        <v>8.7246484999999999E-2</v>
      </c>
    </row>
    <row r="865" spans="1:23" x14ac:dyDescent="0.25">
      <c r="A865" s="3" t="str">
        <f>HYPERLINK("http://ids.si.edu/ids/deliveryService?id=NMAH-ET2013-37918","NMAH-ET2013-37918")</f>
        <v>NMAH-ET2013-37918</v>
      </c>
      <c r="B865" s="3" t="s">
        <v>2219</v>
      </c>
      <c r="C865" s="3">
        <v>606012</v>
      </c>
      <c r="D865" s="3" t="s">
        <v>424</v>
      </c>
      <c r="E865" s="4" t="s">
        <v>480</v>
      </c>
      <c r="F865" t="s">
        <v>2067</v>
      </c>
      <c r="G865">
        <v>0.94399666786193848</v>
      </c>
      <c r="H865" t="s">
        <v>2220</v>
      </c>
      <c r="I865">
        <v>0.8867117166519165</v>
      </c>
      <c r="J865" t="s">
        <v>178</v>
      </c>
      <c r="K865" s="4">
        <v>0.86962002515792847</v>
      </c>
      <c r="L865" t="s">
        <v>481</v>
      </c>
      <c r="M865">
        <v>0.96869015999999997</v>
      </c>
      <c r="N865" t="s">
        <v>313</v>
      </c>
      <c r="O865">
        <v>1.5918643999999999E-2</v>
      </c>
      <c r="P865" t="s">
        <v>182</v>
      </c>
      <c r="Q865" s="4">
        <v>8.6544129999999997E-3</v>
      </c>
      <c r="R865" t="s">
        <v>481</v>
      </c>
      <c r="S865">
        <v>0.90353172999999998</v>
      </c>
      <c r="T865" t="s">
        <v>313</v>
      </c>
      <c r="U865">
        <v>7.6437989999999997E-2</v>
      </c>
      <c r="V865" t="s">
        <v>182</v>
      </c>
      <c r="W865">
        <v>1.060996E-2</v>
      </c>
    </row>
    <row r="866" spans="1:23" x14ac:dyDescent="0.25">
      <c r="A866" s="3" t="str">
        <f>HYPERLINK("http://ids.si.edu/ids/deliveryService?id=NMAH-AHB2006q22183","NMAH-AHB2006q22183")</f>
        <v>NMAH-AHB2006q22183</v>
      </c>
      <c r="B866" s="3" t="s">
        <v>2221</v>
      </c>
      <c r="C866" s="3">
        <v>676189</v>
      </c>
      <c r="D866" s="3" t="s">
        <v>424</v>
      </c>
      <c r="E866" s="4" t="s">
        <v>425</v>
      </c>
      <c r="F866" t="s">
        <v>91</v>
      </c>
      <c r="G866">
        <v>0.91031128168106079</v>
      </c>
      <c r="H866" t="s">
        <v>1191</v>
      </c>
      <c r="I866">
        <v>0.88052254915237427</v>
      </c>
      <c r="J866" t="s">
        <v>112</v>
      </c>
      <c r="K866" s="4">
        <v>0.74956268072128296</v>
      </c>
      <c r="L866" t="s">
        <v>65</v>
      </c>
      <c r="M866">
        <v>0.26894986999999998</v>
      </c>
      <c r="N866" t="s">
        <v>209</v>
      </c>
      <c r="O866">
        <v>0.19112460000000001</v>
      </c>
      <c r="P866" t="s">
        <v>79</v>
      </c>
      <c r="Q866" s="4">
        <v>7.711556E-2</v>
      </c>
      <c r="R866" t="s">
        <v>209</v>
      </c>
      <c r="S866">
        <v>0.7880026</v>
      </c>
      <c r="T866" t="s">
        <v>152</v>
      </c>
      <c r="U866">
        <v>5.7482764000000013E-2</v>
      </c>
      <c r="V866" t="s">
        <v>65</v>
      </c>
      <c r="W866">
        <v>3.8751534999999997E-2</v>
      </c>
    </row>
    <row r="867" spans="1:23" x14ac:dyDescent="0.25">
      <c r="A867" s="3" t="str">
        <f>HYPERLINK("http://ids.si.edu/ids/deliveryService?id=NMAH-AHB2019q093054","NMAH-AHB2019q093054")</f>
        <v>NMAH-AHB2019q093054</v>
      </c>
      <c r="B867" s="3" t="s">
        <v>2222</v>
      </c>
      <c r="C867" s="3">
        <v>1836256</v>
      </c>
      <c r="D867" s="3" t="s">
        <v>424</v>
      </c>
      <c r="E867" s="4" t="s">
        <v>2080</v>
      </c>
      <c r="F867" t="s">
        <v>91</v>
      </c>
      <c r="G867">
        <v>0.88283330202102661</v>
      </c>
      <c r="H867" t="s">
        <v>256</v>
      </c>
      <c r="I867">
        <v>0.69171404838562012</v>
      </c>
      <c r="J867" t="s">
        <v>2081</v>
      </c>
      <c r="K867" s="4">
        <v>0.66261851787567139</v>
      </c>
      <c r="L867" t="s">
        <v>398</v>
      </c>
      <c r="M867">
        <v>0.22038282000000001</v>
      </c>
      <c r="N867" t="s">
        <v>260</v>
      </c>
      <c r="O867">
        <v>0.19902866999999999</v>
      </c>
      <c r="P867" t="s">
        <v>1151</v>
      </c>
      <c r="Q867" s="4">
        <v>8.7581179999999995E-2</v>
      </c>
      <c r="R867" t="s">
        <v>377</v>
      </c>
      <c r="S867">
        <v>0.36111124999999999</v>
      </c>
      <c r="T867" t="s">
        <v>2223</v>
      </c>
      <c r="U867">
        <v>0.10185736400000001</v>
      </c>
      <c r="V867" t="s">
        <v>2082</v>
      </c>
      <c r="W867">
        <v>7.0868045000000005E-2</v>
      </c>
    </row>
    <row r="868" spans="1:23" x14ac:dyDescent="0.25">
      <c r="A868" s="3" t="str">
        <f>HYPERLINK("http://ids.si.edu/ids/deliveryService?id=NMAH-AHB2006q23361","NMAH-AHB2006q23361")</f>
        <v>NMAH-AHB2006q23361</v>
      </c>
      <c r="B868" s="3" t="s">
        <v>2224</v>
      </c>
      <c r="C868" s="3">
        <v>666638</v>
      </c>
      <c r="D868" s="3" t="s">
        <v>424</v>
      </c>
      <c r="E868" s="4" t="s">
        <v>425</v>
      </c>
      <c r="F868" t="s">
        <v>440</v>
      </c>
      <c r="G868">
        <v>0.9404221773147583</v>
      </c>
      <c r="H868" t="s">
        <v>132</v>
      </c>
      <c r="I868">
        <v>0.86494487524032593</v>
      </c>
      <c r="J868" t="s">
        <v>301</v>
      </c>
      <c r="K868" s="4">
        <v>0.58137208223342896</v>
      </c>
      <c r="L868" t="s">
        <v>303</v>
      </c>
      <c r="M868">
        <v>0.93707340000000006</v>
      </c>
      <c r="N868" t="s">
        <v>459</v>
      </c>
      <c r="O868">
        <v>1.5665557E-2</v>
      </c>
      <c r="P868" t="s">
        <v>529</v>
      </c>
      <c r="Q868" s="4">
        <v>7.6441667000000007E-3</v>
      </c>
      <c r="R868" t="s">
        <v>303</v>
      </c>
      <c r="S868">
        <v>0.72016954</v>
      </c>
      <c r="T868" t="s">
        <v>459</v>
      </c>
      <c r="U868">
        <v>4.1714451999999999E-2</v>
      </c>
      <c r="V868" t="s">
        <v>502</v>
      </c>
      <c r="W868">
        <v>2.3812364999999999E-2</v>
      </c>
    </row>
    <row r="869" spans="1:23" x14ac:dyDescent="0.25">
      <c r="A869" s="3" t="str">
        <f>HYPERLINK("http://ids.si.edu/ids/deliveryService?id=NMAH-91-7497","NMAH-91-7497")</f>
        <v>NMAH-91-7497</v>
      </c>
      <c r="B869" s="3" t="s">
        <v>2225</v>
      </c>
      <c r="C869" s="3">
        <v>606945</v>
      </c>
      <c r="D869" s="3" t="s">
        <v>424</v>
      </c>
      <c r="E869" s="4" t="s">
        <v>2226</v>
      </c>
      <c r="F869" t="s">
        <v>103</v>
      </c>
      <c r="G869">
        <v>0.8077622652053833</v>
      </c>
      <c r="H869" t="s">
        <v>1540</v>
      </c>
      <c r="I869">
        <v>0.60042977333068848</v>
      </c>
      <c r="J869" t="s">
        <v>2227</v>
      </c>
      <c r="K869" s="4">
        <v>0.59768849611282349</v>
      </c>
      <c r="L869" t="s">
        <v>492</v>
      </c>
      <c r="M869">
        <v>0.68556887</v>
      </c>
      <c r="N869" t="s">
        <v>552</v>
      </c>
      <c r="O869">
        <v>0.11224932</v>
      </c>
      <c r="P869" t="s">
        <v>481</v>
      </c>
      <c r="Q869" s="4">
        <v>1.8037587000000001E-2</v>
      </c>
      <c r="R869" t="s">
        <v>857</v>
      </c>
      <c r="S869">
        <v>8.0291760000000004E-2</v>
      </c>
      <c r="T869" t="s">
        <v>984</v>
      </c>
      <c r="U869">
        <v>6.2614110000000001E-2</v>
      </c>
      <c r="V869" t="s">
        <v>2228</v>
      </c>
      <c r="W869">
        <v>4.8139534999999997E-2</v>
      </c>
    </row>
    <row r="870" spans="1:23" x14ac:dyDescent="0.25">
      <c r="A870" s="3" t="str">
        <f>HYPERLINK("http://ids.si.edu/ids/deliveryService?id=NMAH-AHB2006q25064","NMAH-AHB2006q25064")</f>
        <v>NMAH-AHB2006q25064</v>
      </c>
      <c r="B870" s="3" t="s">
        <v>2229</v>
      </c>
      <c r="C870" s="3">
        <v>1213496</v>
      </c>
      <c r="D870" s="3" t="s">
        <v>424</v>
      </c>
      <c r="E870" s="4" t="s">
        <v>425</v>
      </c>
      <c r="F870" t="s">
        <v>61</v>
      </c>
      <c r="G870">
        <v>0.89013081789016724</v>
      </c>
      <c r="H870" t="s">
        <v>112</v>
      </c>
      <c r="I870">
        <v>0.81951183080673218</v>
      </c>
      <c r="J870" t="s">
        <v>220</v>
      </c>
      <c r="K870" s="4">
        <v>0.66632241010665894</v>
      </c>
      <c r="L870" t="s">
        <v>65</v>
      </c>
      <c r="M870">
        <v>0.43536722999999999</v>
      </c>
      <c r="N870" t="s">
        <v>152</v>
      </c>
      <c r="O870">
        <v>0.24933723999999999</v>
      </c>
      <c r="P870" t="s">
        <v>45</v>
      </c>
      <c r="Q870" s="4">
        <v>8.8114209999999998E-2</v>
      </c>
      <c r="R870" t="s">
        <v>65</v>
      </c>
      <c r="S870">
        <v>0.50924044999999996</v>
      </c>
      <c r="T870" t="s">
        <v>66</v>
      </c>
      <c r="U870">
        <v>0.12494491000000001</v>
      </c>
      <c r="V870" t="s">
        <v>209</v>
      </c>
      <c r="W870">
        <v>6.0579576000000003E-2</v>
      </c>
    </row>
    <row r="871" spans="1:23" x14ac:dyDescent="0.25">
      <c r="A871" s="3" t="str">
        <f>HYPERLINK("http://ids.si.edu/ids/deliveryService?id=NMAH-AHB2012q50263","NMAH-AHB2012q50263")</f>
        <v>NMAH-AHB2012q50263</v>
      </c>
      <c r="B871" s="3" t="s">
        <v>2230</v>
      </c>
      <c r="C871" s="3">
        <v>669522</v>
      </c>
      <c r="D871" s="3" t="s">
        <v>424</v>
      </c>
      <c r="E871" s="4" t="s">
        <v>425</v>
      </c>
      <c r="F871" t="s">
        <v>449</v>
      </c>
      <c r="G871">
        <v>0.88945251703262329</v>
      </c>
      <c r="H871" t="s">
        <v>61</v>
      </c>
      <c r="I871">
        <v>0.86929196119308472</v>
      </c>
      <c r="J871" t="s">
        <v>608</v>
      </c>
      <c r="K871" s="4">
        <v>0.74783331155776978</v>
      </c>
      <c r="L871" t="s">
        <v>65</v>
      </c>
      <c r="M871">
        <v>0.64687090000000003</v>
      </c>
      <c r="N871" t="s">
        <v>129</v>
      </c>
      <c r="O871">
        <v>0.19475448000000001</v>
      </c>
      <c r="P871" t="s">
        <v>460</v>
      </c>
      <c r="Q871" s="4">
        <v>5.8362971999999999E-2</v>
      </c>
      <c r="R871" t="s">
        <v>65</v>
      </c>
      <c r="S871">
        <v>0.36873144000000002</v>
      </c>
      <c r="T871" t="s">
        <v>129</v>
      </c>
      <c r="U871">
        <v>0.27120029999999989</v>
      </c>
      <c r="V871" t="s">
        <v>29</v>
      </c>
      <c r="W871">
        <v>2.0558216000000001E-2</v>
      </c>
    </row>
    <row r="872" spans="1:23" x14ac:dyDescent="0.25">
      <c r="A872" s="3" t="str">
        <f>HYPERLINK("http://ids.si.edu/ids/deliveryService?id=NMAH-99-1562-000001","NMAH-99-1562-000001")</f>
        <v>NMAH-99-1562-000001</v>
      </c>
      <c r="B872" s="3" t="s">
        <v>2231</v>
      </c>
      <c r="C872" s="3">
        <v>808196</v>
      </c>
      <c r="D872" s="3" t="s">
        <v>424</v>
      </c>
      <c r="E872" s="4" t="s">
        <v>740</v>
      </c>
      <c r="F872" t="s">
        <v>61</v>
      </c>
      <c r="G872">
        <v>0.91213947534561157</v>
      </c>
      <c r="H872" t="s">
        <v>112</v>
      </c>
      <c r="I872">
        <v>0.78258353471755981</v>
      </c>
      <c r="J872" t="s">
        <v>220</v>
      </c>
      <c r="K872" s="4">
        <v>0.74897295236587524</v>
      </c>
      <c r="L872" t="s">
        <v>77</v>
      </c>
      <c r="M872">
        <v>0.30753085000000002</v>
      </c>
      <c r="N872" t="s">
        <v>65</v>
      </c>
      <c r="O872">
        <v>8.5788989999999996E-2</v>
      </c>
      <c r="P872" t="s">
        <v>1151</v>
      </c>
      <c r="Q872" s="4">
        <v>8.1753809999999996E-2</v>
      </c>
      <c r="R872" t="s">
        <v>65</v>
      </c>
      <c r="S872">
        <v>0.28813450000000002</v>
      </c>
      <c r="T872" t="s">
        <v>426</v>
      </c>
      <c r="U872">
        <v>0.26095407999999998</v>
      </c>
      <c r="V872" t="s">
        <v>43</v>
      </c>
      <c r="W872">
        <v>7.1209579999999995E-2</v>
      </c>
    </row>
    <row r="873" spans="1:23" x14ac:dyDescent="0.25">
      <c r="A873" s="3" t="str">
        <f>HYPERLINK("http://ids.si.edu/ids/deliveryService?id=NMAH-ET2014-03733","NMAH-ET2014-03733")</f>
        <v>NMAH-ET2014-03733</v>
      </c>
      <c r="B873" s="3" t="s">
        <v>2232</v>
      </c>
      <c r="C873" s="3">
        <v>694883</v>
      </c>
      <c r="D873" s="3" t="s">
        <v>424</v>
      </c>
      <c r="E873" s="4" t="s">
        <v>59</v>
      </c>
      <c r="F873" t="s">
        <v>662</v>
      </c>
      <c r="G873">
        <v>0.8762359619140625</v>
      </c>
      <c r="H873" t="s">
        <v>2233</v>
      </c>
      <c r="I873">
        <v>0.86621534824371338</v>
      </c>
      <c r="J873" t="s">
        <v>2234</v>
      </c>
      <c r="K873" s="4">
        <v>0.78524196147918701</v>
      </c>
      <c r="L873" t="s">
        <v>144</v>
      </c>
      <c r="M873">
        <v>0.24393229</v>
      </c>
      <c r="N873" t="s">
        <v>29</v>
      </c>
      <c r="O873">
        <v>5.2413657000000002E-2</v>
      </c>
      <c r="P873" t="s">
        <v>1403</v>
      </c>
      <c r="Q873" s="4">
        <v>3.0010908999999999E-2</v>
      </c>
      <c r="R873" t="s">
        <v>450</v>
      </c>
      <c r="S873">
        <v>7.4699719999999997E-2</v>
      </c>
      <c r="T873" t="s">
        <v>623</v>
      </c>
      <c r="U873">
        <v>6.9212629999999997E-2</v>
      </c>
      <c r="V873" t="s">
        <v>65</v>
      </c>
      <c r="W873">
        <v>6.2119505999999998E-2</v>
      </c>
    </row>
    <row r="874" spans="1:23" x14ac:dyDescent="0.25">
      <c r="A874" s="3" t="str">
        <f>HYPERLINK("http://ids.si.edu/ids/deliveryService?id=NMAH-AHB2012q32473","NMAH-AHB2012q32473")</f>
        <v>NMAH-AHB2012q32473</v>
      </c>
      <c r="B874" s="3" t="s">
        <v>2235</v>
      </c>
      <c r="C874" s="3">
        <v>1062887</v>
      </c>
      <c r="D874" s="3" t="s">
        <v>424</v>
      </c>
      <c r="E874" s="4" t="s">
        <v>746</v>
      </c>
      <c r="F874" t="s">
        <v>582</v>
      </c>
      <c r="G874">
        <v>0.55821055173873901</v>
      </c>
      <c r="H874" t="s">
        <v>50</v>
      </c>
      <c r="I874">
        <v>0.5114516019821167</v>
      </c>
      <c r="L874" t="s">
        <v>580</v>
      </c>
      <c r="M874">
        <v>0.99918850000000003</v>
      </c>
      <c r="N874" t="s">
        <v>749</v>
      </c>
      <c r="O874">
        <v>2.0012327999999999E-4</v>
      </c>
      <c r="P874" t="s">
        <v>2236</v>
      </c>
      <c r="Q874" s="4">
        <v>1.6161176999999999E-4</v>
      </c>
      <c r="R874" t="s">
        <v>628</v>
      </c>
      <c r="S874">
        <v>0.28361451999999998</v>
      </c>
      <c r="T874" t="s">
        <v>580</v>
      </c>
      <c r="U874">
        <v>8.3890439999999997E-2</v>
      </c>
      <c r="V874" t="s">
        <v>749</v>
      </c>
      <c r="W874">
        <v>6.4598984999999998E-2</v>
      </c>
    </row>
    <row r="875" spans="1:23" x14ac:dyDescent="0.25">
      <c r="A875" s="3" t="str">
        <f>HYPERLINK("http://ids.si.edu/ids/deliveryService?id=NMAH-MAH-56376","NMAH-MAH-56376")</f>
        <v>NMAH-MAH-56376</v>
      </c>
      <c r="B875" s="3" t="s">
        <v>2237</v>
      </c>
      <c r="C875" s="3">
        <v>605866</v>
      </c>
      <c r="D875" s="3" t="s">
        <v>424</v>
      </c>
      <c r="E875" s="4" t="s">
        <v>565</v>
      </c>
      <c r="F875" t="s">
        <v>178</v>
      </c>
      <c r="G875">
        <v>0.63240146636962891</v>
      </c>
      <c r="H875" t="s">
        <v>636</v>
      </c>
      <c r="I875">
        <v>0.60511940717697144</v>
      </c>
      <c r="L875" t="s">
        <v>182</v>
      </c>
      <c r="M875">
        <v>0.72297769999999995</v>
      </c>
      <c r="N875" t="s">
        <v>638</v>
      </c>
      <c r="O875">
        <v>0.20287250000000001</v>
      </c>
      <c r="P875" t="s">
        <v>481</v>
      </c>
      <c r="Q875" s="4">
        <v>7.8034869999999996E-3</v>
      </c>
      <c r="R875" t="s">
        <v>182</v>
      </c>
      <c r="S875">
        <v>0.68799500000000002</v>
      </c>
      <c r="T875" t="s">
        <v>411</v>
      </c>
      <c r="U875">
        <v>8.3702559999999995E-2</v>
      </c>
      <c r="V875" t="s">
        <v>673</v>
      </c>
      <c r="W875">
        <v>4.6092442999999997E-2</v>
      </c>
    </row>
    <row r="876" spans="1:23" x14ac:dyDescent="0.25">
      <c r="A876" s="3" t="str">
        <f>HYPERLINK("http://ids.si.edu/ids/deliveryService?id=NMAH-90-16945","NMAH-90-16945")</f>
        <v>NMAH-90-16945</v>
      </c>
      <c r="B876" s="3" t="s">
        <v>2238</v>
      </c>
      <c r="C876" s="3">
        <v>605536</v>
      </c>
      <c r="D876" s="3" t="s">
        <v>424</v>
      </c>
      <c r="E876" s="4" t="s">
        <v>492</v>
      </c>
      <c r="F876" t="s">
        <v>434</v>
      </c>
      <c r="G876">
        <v>0.9898790717124939</v>
      </c>
      <c r="H876" t="s">
        <v>551</v>
      </c>
      <c r="I876">
        <v>0.98510479927062988</v>
      </c>
      <c r="J876" t="s">
        <v>434</v>
      </c>
      <c r="K876" s="4">
        <v>0.98163163661956787</v>
      </c>
      <c r="L876" t="s">
        <v>492</v>
      </c>
      <c r="M876">
        <v>0.91031015000000004</v>
      </c>
      <c r="N876" t="s">
        <v>552</v>
      </c>
      <c r="O876">
        <v>8.8967025000000005E-2</v>
      </c>
      <c r="P876" t="s">
        <v>436</v>
      </c>
      <c r="Q876" s="4">
        <v>4.6338382999999998E-4</v>
      </c>
      <c r="R876" t="s">
        <v>492</v>
      </c>
      <c r="S876">
        <v>0.84146149999999997</v>
      </c>
      <c r="T876" t="s">
        <v>552</v>
      </c>
      <c r="U876">
        <v>0.1307931</v>
      </c>
      <c r="V876" t="s">
        <v>436</v>
      </c>
      <c r="W876">
        <v>1.0689562999999999E-2</v>
      </c>
    </row>
    <row r="877" spans="1:23" x14ac:dyDescent="0.25">
      <c r="A877" s="3" t="str">
        <f>HYPERLINK("http://ids.si.edu/ids/deliveryService?id=NMAH-AHB2012q32468","NMAH-AHB2012q32468")</f>
        <v>NMAH-AHB2012q32468</v>
      </c>
      <c r="B877" s="3" t="s">
        <v>2239</v>
      </c>
      <c r="C877" s="3">
        <v>1062861</v>
      </c>
      <c r="D877" s="3" t="s">
        <v>424</v>
      </c>
      <c r="E877" s="4" t="s">
        <v>746</v>
      </c>
      <c r="F877" t="s">
        <v>582</v>
      </c>
      <c r="G877">
        <v>0.95048350095748901</v>
      </c>
      <c r="H877" t="s">
        <v>581</v>
      </c>
      <c r="I877">
        <v>0.93340456485748291</v>
      </c>
      <c r="J877" t="s">
        <v>583</v>
      </c>
      <c r="K877" s="4">
        <v>0.76808232069015503</v>
      </c>
      <c r="L877" t="s">
        <v>580</v>
      </c>
      <c r="M877">
        <v>0.99999726</v>
      </c>
      <c r="N877" t="s">
        <v>584</v>
      </c>
      <c r="O877">
        <v>1.5781178999999999E-6</v>
      </c>
      <c r="P877" t="s">
        <v>628</v>
      </c>
      <c r="Q877" s="4">
        <v>5.4253959999999996E-7</v>
      </c>
      <c r="R877" t="s">
        <v>580</v>
      </c>
      <c r="S877">
        <v>0.99936229999999993</v>
      </c>
      <c r="T877" t="s">
        <v>628</v>
      </c>
      <c r="U877">
        <v>4.9987935999999992E-4</v>
      </c>
      <c r="V877" t="s">
        <v>302</v>
      </c>
      <c r="W877">
        <v>5.8708025000000003E-5</v>
      </c>
    </row>
    <row r="878" spans="1:23" x14ac:dyDescent="0.25">
      <c r="A878" s="3" t="str">
        <f>HYPERLINK("http://ids.si.edu/ids/deliveryService?id=NMAH-AHB2006q25057","NMAH-AHB2006q25057")</f>
        <v>NMAH-AHB2006q25057</v>
      </c>
      <c r="B878" s="3" t="s">
        <v>2240</v>
      </c>
      <c r="C878" s="3">
        <v>1213487</v>
      </c>
      <c r="D878" s="3" t="s">
        <v>424</v>
      </c>
      <c r="E878" s="4" t="s">
        <v>425</v>
      </c>
      <c r="F878" t="s">
        <v>61</v>
      </c>
      <c r="G878">
        <v>0.91897565126419067</v>
      </c>
      <c r="H878" t="s">
        <v>265</v>
      </c>
      <c r="I878">
        <v>0.76211744546890259</v>
      </c>
      <c r="J878" t="s">
        <v>311</v>
      </c>
      <c r="K878" s="4">
        <v>0.7379721999168396</v>
      </c>
      <c r="L878" t="s">
        <v>66</v>
      </c>
      <c r="M878">
        <v>0.85621900000000006</v>
      </c>
      <c r="N878" t="s">
        <v>65</v>
      </c>
      <c r="O878">
        <v>0.12292635</v>
      </c>
      <c r="P878" t="s">
        <v>460</v>
      </c>
      <c r="Q878" s="4">
        <v>4.5445870000000001E-3</v>
      </c>
      <c r="R878" t="s">
        <v>66</v>
      </c>
      <c r="S878">
        <v>0.89396023999999996</v>
      </c>
      <c r="T878" t="s">
        <v>65</v>
      </c>
      <c r="U878">
        <v>5.1246862999999997E-2</v>
      </c>
      <c r="V878" t="s">
        <v>209</v>
      </c>
      <c r="W878">
        <v>9.6396950000000002E-3</v>
      </c>
    </row>
    <row r="879" spans="1:23" x14ac:dyDescent="0.25">
      <c r="A879" s="3" t="str">
        <f>HYPERLINK("http://ids.si.edu/ids/deliveryService?id=NMAH-2007-6006-000002","NMAH-2007-6006-000002")</f>
        <v>NMAH-2007-6006-000002</v>
      </c>
      <c r="B879" s="3" t="s">
        <v>2241</v>
      </c>
      <c r="C879" s="3">
        <v>1317250</v>
      </c>
      <c r="D879" s="3" t="s">
        <v>424</v>
      </c>
      <c r="E879" s="4" t="s">
        <v>118</v>
      </c>
      <c r="F879" t="s">
        <v>272</v>
      </c>
      <c r="G879">
        <v>0.9782060980796814</v>
      </c>
      <c r="H879" t="s">
        <v>101</v>
      </c>
      <c r="I879">
        <v>0.97188925743103027</v>
      </c>
      <c r="J879" t="s">
        <v>292</v>
      </c>
      <c r="K879" s="4">
        <v>0.94057369232177734</v>
      </c>
      <c r="L879" t="s">
        <v>1091</v>
      </c>
      <c r="M879">
        <v>0.17339246</v>
      </c>
      <c r="N879" t="s">
        <v>253</v>
      </c>
      <c r="O879">
        <v>0.11720041</v>
      </c>
      <c r="P879" t="s">
        <v>1599</v>
      </c>
      <c r="Q879" s="4">
        <v>0.1061342</v>
      </c>
      <c r="R879" t="s">
        <v>2242</v>
      </c>
      <c r="S879">
        <v>0.10181046000000001</v>
      </c>
      <c r="T879" t="s">
        <v>843</v>
      </c>
      <c r="U879">
        <v>5.3346342999999997E-2</v>
      </c>
      <c r="V879" t="s">
        <v>319</v>
      </c>
      <c r="W879">
        <v>4.9347393000000003E-2</v>
      </c>
    </row>
    <row r="880" spans="1:23" x14ac:dyDescent="0.25">
      <c r="A880" s="3" t="str">
        <f>HYPERLINK("http://ids.si.edu/ids/deliveryService?id=NMAH-AHB2017q072936","NMAH-AHB2017q072936")</f>
        <v>NMAH-AHB2017q072936</v>
      </c>
      <c r="B880" s="3" t="s">
        <v>2243</v>
      </c>
      <c r="C880" s="3">
        <v>1401756</v>
      </c>
      <c r="D880" s="3" t="s">
        <v>424</v>
      </c>
      <c r="E880" s="4" t="s">
        <v>2244</v>
      </c>
      <c r="F880" t="s">
        <v>434</v>
      </c>
      <c r="G880">
        <v>0.96948236227035522</v>
      </c>
      <c r="H880" t="s">
        <v>433</v>
      </c>
      <c r="I880">
        <v>0.95936000347137451</v>
      </c>
      <c r="J880" t="s">
        <v>435</v>
      </c>
      <c r="K880" s="4">
        <v>0.91180074214935303</v>
      </c>
      <c r="L880" t="s">
        <v>436</v>
      </c>
      <c r="M880">
        <v>0.96198930000000005</v>
      </c>
      <c r="N880" t="s">
        <v>568</v>
      </c>
      <c r="O880">
        <v>1.938132E-2</v>
      </c>
      <c r="P880" t="s">
        <v>437</v>
      </c>
      <c r="Q880" s="4">
        <v>1.3101681E-2</v>
      </c>
      <c r="R880" t="s">
        <v>568</v>
      </c>
      <c r="S880">
        <v>0.50059335999999999</v>
      </c>
      <c r="T880" t="s">
        <v>436</v>
      </c>
      <c r="U880">
        <v>0.32921767000000002</v>
      </c>
      <c r="V880" t="s">
        <v>437</v>
      </c>
      <c r="W880">
        <v>2.0108402000000001E-2</v>
      </c>
    </row>
    <row r="881" spans="1:23" x14ac:dyDescent="0.25">
      <c r="A881" s="3" t="str">
        <f>HYPERLINK("http://ids.si.edu/ids/deliveryService?id=NMAH-AHB2018q016376","NMAH-AHB2018q016376")</f>
        <v>NMAH-AHB2018q016376</v>
      </c>
      <c r="B881" s="3" t="s">
        <v>2245</v>
      </c>
      <c r="C881" s="3">
        <v>1836438</v>
      </c>
      <c r="D881" s="3" t="s">
        <v>424</v>
      </c>
      <c r="E881" s="4" t="s">
        <v>2080</v>
      </c>
      <c r="F881" t="s">
        <v>61</v>
      </c>
      <c r="G881">
        <v>0.97104495763778687</v>
      </c>
      <c r="H881" t="s">
        <v>75</v>
      </c>
      <c r="I881">
        <v>0.79505276679992676</v>
      </c>
      <c r="J881" t="s">
        <v>112</v>
      </c>
      <c r="K881" s="4">
        <v>0.74956268072128296</v>
      </c>
      <c r="L881" t="s">
        <v>77</v>
      </c>
      <c r="M881">
        <v>0.58409286000000005</v>
      </c>
      <c r="N881" t="s">
        <v>398</v>
      </c>
      <c r="O881">
        <v>0.12393621</v>
      </c>
      <c r="P881" t="s">
        <v>66</v>
      </c>
      <c r="Q881" s="4">
        <v>5.301674E-2</v>
      </c>
      <c r="R881" t="s">
        <v>398</v>
      </c>
      <c r="S881">
        <v>0.57923924999999998</v>
      </c>
      <c r="T881" t="s">
        <v>77</v>
      </c>
      <c r="U881">
        <v>0.21962307</v>
      </c>
      <c r="V881" t="s">
        <v>1709</v>
      </c>
      <c r="W881">
        <v>8.1276349999999997E-2</v>
      </c>
    </row>
    <row r="882" spans="1:23" x14ac:dyDescent="0.25">
      <c r="A882" s="3" t="str">
        <f>HYPERLINK("http://ids.si.edu/ids/deliveryService?id=NMAH-AHB2010q66144-001","NMAH-AHB2010q66144-001")</f>
        <v>NMAH-AHB2010q66144-001</v>
      </c>
      <c r="B882" s="3" t="s">
        <v>2246</v>
      </c>
      <c r="C882" s="3">
        <v>1054221</v>
      </c>
      <c r="D882" s="3" t="s">
        <v>424</v>
      </c>
      <c r="E882" s="4" t="s">
        <v>469</v>
      </c>
      <c r="F882" t="s">
        <v>604</v>
      </c>
      <c r="G882">
        <v>0.58598244190216064</v>
      </c>
      <c r="H882" t="s">
        <v>541</v>
      </c>
      <c r="I882">
        <v>0.52115780115127563</v>
      </c>
      <c r="J882" t="s">
        <v>50</v>
      </c>
      <c r="K882" s="4">
        <v>0.5114516019821167</v>
      </c>
      <c r="L882" t="s">
        <v>460</v>
      </c>
      <c r="M882">
        <v>0.14879187999999999</v>
      </c>
      <c r="N882" t="s">
        <v>93</v>
      </c>
      <c r="O882">
        <v>0.12237453500000001</v>
      </c>
      <c r="P882" t="s">
        <v>312</v>
      </c>
      <c r="Q882" s="4">
        <v>9.3367845000000005E-2</v>
      </c>
      <c r="R882" t="s">
        <v>95</v>
      </c>
      <c r="S882">
        <v>0.70343034999999998</v>
      </c>
      <c r="T882" t="s">
        <v>1093</v>
      </c>
      <c r="U882">
        <v>8.461196E-2</v>
      </c>
      <c r="V882" t="s">
        <v>312</v>
      </c>
      <c r="W882">
        <v>3.8020484E-2</v>
      </c>
    </row>
    <row r="883" spans="1:23" x14ac:dyDescent="0.25">
      <c r="A883" s="3" t="str">
        <f>HYPERLINK("http://ids.si.edu/ids/deliveryService?id=NMAH-AHB2006q24363","NMAH-AHB2006q24363")</f>
        <v>NMAH-AHB2006q24363</v>
      </c>
      <c r="B883" s="3" t="s">
        <v>2247</v>
      </c>
      <c r="C883" s="3">
        <v>1233270</v>
      </c>
      <c r="D883" s="3" t="s">
        <v>424</v>
      </c>
      <c r="E883" s="4" t="s">
        <v>425</v>
      </c>
      <c r="F883" t="s">
        <v>440</v>
      </c>
      <c r="G883">
        <v>0.9404221773147583</v>
      </c>
      <c r="H883" t="s">
        <v>441</v>
      </c>
      <c r="I883">
        <v>0.6757805347442627</v>
      </c>
      <c r="J883" t="s">
        <v>301</v>
      </c>
      <c r="K883" s="4">
        <v>0.51647579669952393</v>
      </c>
      <c r="L883" t="s">
        <v>442</v>
      </c>
      <c r="M883">
        <v>0.44214004000000001</v>
      </c>
      <c r="N883" t="s">
        <v>2248</v>
      </c>
      <c r="O883">
        <v>5.6852550000000002E-2</v>
      </c>
      <c r="P883" t="s">
        <v>847</v>
      </c>
      <c r="Q883" s="4">
        <v>5.1877215999999997E-2</v>
      </c>
      <c r="R883" t="s">
        <v>303</v>
      </c>
      <c r="S883">
        <v>8.2165100000000005E-2</v>
      </c>
      <c r="T883" t="s">
        <v>2249</v>
      </c>
      <c r="U883">
        <v>7.6266109999999998E-2</v>
      </c>
      <c r="V883" t="s">
        <v>654</v>
      </c>
      <c r="W883">
        <v>7.3665984000000004E-2</v>
      </c>
    </row>
    <row r="884" spans="1:23" x14ac:dyDescent="0.25">
      <c r="A884" s="3" t="str">
        <f>HYPERLINK("http://ids.si.edu/ids/deliveryService?id=NMAH-AHB2006q23445","NMAH-AHB2006q23445")</f>
        <v>NMAH-AHB2006q23445</v>
      </c>
      <c r="B884" s="3" t="s">
        <v>2250</v>
      </c>
      <c r="C884" s="3">
        <v>666394</v>
      </c>
      <c r="D884" s="3" t="s">
        <v>424</v>
      </c>
      <c r="E884" s="4" t="s">
        <v>425</v>
      </c>
      <c r="F884" t="s">
        <v>440</v>
      </c>
      <c r="G884">
        <v>0.78211987018585205</v>
      </c>
      <c r="H884" t="s">
        <v>441</v>
      </c>
      <c r="I884">
        <v>0.71206289529800415</v>
      </c>
      <c r="J884" t="s">
        <v>439</v>
      </c>
      <c r="K884" s="4">
        <v>0.62164807319641113</v>
      </c>
      <c r="L884" t="s">
        <v>303</v>
      </c>
      <c r="M884">
        <v>0.64027780000000001</v>
      </c>
      <c r="N884" t="s">
        <v>459</v>
      </c>
      <c r="O884">
        <v>0.14181408000000001</v>
      </c>
      <c r="P884" t="s">
        <v>529</v>
      </c>
      <c r="Q884" s="4">
        <v>8.6436760000000001E-2</v>
      </c>
      <c r="R884" t="s">
        <v>303</v>
      </c>
      <c r="S884">
        <v>0.24680942</v>
      </c>
      <c r="T884" t="s">
        <v>459</v>
      </c>
      <c r="U884">
        <v>9.4357209999999997E-2</v>
      </c>
      <c r="V884" t="s">
        <v>233</v>
      </c>
      <c r="W884">
        <v>7.9639189999999999E-2</v>
      </c>
    </row>
    <row r="885" spans="1:23" x14ac:dyDescent="0.25">
      <c r="A885" s="3" t="str">
        <f>HYPERLINK("http://ids.si.edu/ids/deliveryService?id=NMAH-81-10133","NMAH-81-10133")</f>
        <v>NMAH-81-10133</v>
      </c>
      <c r="B885" s="3" t="s">
        <v>2251</v>
      </c>
      <c r="C885" s="3">
        <v>605535</v>
      </c>
      <c r="D885" s="3" t="s">
        <v>424</v>
      </c>
      <c r="E885" s="4" t="s">
        <v>492</v>
      </c>
      <c r="F885" t="s">
        <v>551</v>
      </c>
      <c r="G885">
        <v>0.98414081335067749</v>
      </c>
      <c r="H885" t="s">
        <v>434</v>
      </c>
      <c r="I885">
        <v>0.97719168663024902</v>
      </c>
      <c r="J885" t="s">
        <v>434</v>
      </c>
      <c r="K885" s="4">
        <v>0.96997219324111938</v>
      </c>
      <c r="L885" t="s">
        <v>492</v>
      </c>
      <c r="M885">
        <v>0.57744099999999998</v>
      </c>
      <c r="N885" t="s">
        <v>552</v>
      </c>
      <c r="O885">
        <v>0.40525305</v>
      </c>
      <c r="P885" t="s">
        <v>451</v>
      </c>
      <c r="Q885" s="4">
        <v>3.7627870000000001E-3</v>
      </c>
      <c r="R885" t="s">
        <v>492</v>
      </c>
      <c r="S885">
        <v>0.44944462000000002</v>
      </c>
      <c r="T885" t="s">
        <v>451</v>
      </c>
      <c r="U885">
        <v>0.12886816000000001</v>
      </c>
      <c r="V885" t="s">
        <v>552</v>
      </c>
      <c r="W885">
        <v>0.12607709</v>
      </c>
    </row>
    <row r="886" spans="1:23" x14ac:dyDescent="0.25">
      <c r="A886" s="3" t="str">
        <f>HYPERLINK("http://ids.si.edu/ids/deliveryService?id=NMAH-AHB2017q074766","NMAH-AHB2017q074766")</f>
        <v>NMAH-AHB2017q074766</v>
      </c>
      <c r="B886" s="3" t="s">
        <v>2252</v>
      </c>
      <c r="C886" s="3">
        <v>606021</v>
      </c>
      <c r="D886" s="3" t="s">
        <v>424</v>
      </c>
      <c r="E886" s="4" t="s">
        <v>684</v>
      </c>
      <c r="F886" t="s">
        <v>256</v>
      </c>
      <c r="G886">
        <v>0.65348172187805176</v>
      </c>
      <c r="H886" t="s">
        <v>396</v>
      </c>
      <c r="I886">
        <v>0.64211690425872803</v>
      </c>
      <c r="J886" t="s">
        <v>230</v>
      </c>
      <c r="K886" s="4">
        <v>0.5389406681060791</v>
      </c>
      <c r="L886" t="s">
        <v>2068</v>
      </c>
      <c r="M886">
        <v>0.2710014</v>
      </c>
      <c r="N886" t="s">
        <v>482</v>
      </c>
      <c r="O886">
        <v>0.23110712</v>
      </c>
      <c r="P886" t="s">
        <v>481</v>
      </c>
      <c r="Q886" s="4">
        <v>7.7206810000000001E-2</v>
      </c>
      <c r="R886" t="s">
        <v>685</v>
      </c>
      <c r="S886">
        <v>0.25065857000000002</v>
      </c>
      <c r="T886" t="s">
        <v>482</v>
      </c>
      <c r="U886">
        <v>0.20263845</v>
      </c>
      <c r="V886" t="s">
        <v>182</v>
      </c>
      <c r="W886">
        <v>0.10917074</v>
      </c>
    </row>
    <row r="887" spans="1:23" x14ac:dyDescent="0.25">
      <c r="A887" s="3" t="str">
        <f>HYPERLINK("http://ids.si.edu/ids/deliveryService?id=NMAH-AHB2009q22225","NMAH-AHB2009q22225")</f>
        <v>NMAH-AHB2009q22225</v>
      </c>
      <c r="B887" s="3" t="s">
        <v>2253</v>
      </c>
      <c r="C887" s="3">
        <v>1317538</v>
      </c>
      <c r="D887" s="3" t="s">
        <v>424</v>
      </c>
      <c r="E887" s="4" t="s">
        <v>1182</v>
      </c>
      <c r="F887" t="s">
        <v>238</v>
      </c>
      <c r="G887">
        <v>0.84262335300445557</v>
      </c>
      <c r="H887" t="s">
        <v>264</v>
      </c>
      <c r="I887">
        <v>0.8178744912147522</v>
      </c>
      <c r="J887" t="s">
        <v>728</v>
      </c>
      <c r="K887" s="4">
        <v>0.72933459281921387</v>
      </c>
      <c r="L887" t="s">
        <v>379</v>
      </c>
      <c r="M887">
        <v>0.36692150000000001</v>
      </c>
      <c r="N887" t="s">
        <v>65</v>
      </c>
      <c r="O887">
        <v>0.1484135</v>
      </c>
      <c r="P887" t="s">
        <v>66</v>
      </c>
      <c r="Q887" s="4">
        <v>0.13782132</v>
      </c>
      <c r="R887" t="s">
        <v>65</v>
      </c>
      <c r="S887">
        <v>0.58001195999999999</v>
      </c>
      <c r="T887" t="s">
        <v>29</v>
      </c>
      <c r="U887">
        <v>9.0348310000000001E-2</v>
      </c>
      <c r="V887" t="s">
        <v>66</v>
      </c>
      <c r="W887">
        <v>7.7046506000000001E-2</v>
      </c>
    </row>
    <row r="888" spans="1:23" x14ac:dyDescent="0.25">
      <c r="A888" s="3" t="str">
        <f>HYPERLINK("http://ids.si.edu/ids/deliveryService?id=NMAH-JN2016-03083-000001","NMAH-JN2016-03083-000001")</f>
        <v>NMAH-JN2016-03083-000001</v>
      </c>
      <c r="B888" s="3" t="s">
        <v>2254</v>
      </c>
      <c r="C888" s="3">
        <v>607482</v>
      </c>
      <c r="D888" s="3" t="s">
        <v>424</v>
      </c>
      <c r="E888" s="4" t="s">
        <v>2207</v>
      </c>
      <c r="F888" t="s">
        <v>2218</v>
      </c>
      <c r="G888">
        <v>0.99484795331954956</v>
      </c>
      <c r="H888" t="s">
        <v>434</v>
      </c>
      <c r="I888">
        <v>0.99326556921005249</v>
      </c>
      <c r="J888" t="s">
        <v>434</v>
      </c>
      <c r="K888" s="4">
        <v>0.98626333475112915</v>
      </c>
      <c r="L888" t="s">
        <v>437</v>
      </c>
      <c r="M888">
        <v>0.92760246999999996</v>
      </c>
      <c r="N888" t="s">
        <v>436</v>
      </c>
      <c r="O888">
        <v>5.8351676999999998E-2</v>
      </c>
      <c r="P888" t="s">
        <v>568</v>
      </c>
      <c r="Q888" s="4">
        <v>8.4547240000000003E-3</v>
      </c>
      <c r="R888" t="s">
        <v>437</v>
      </c>
      <c r="S888">
        <v>0.84430159999999999</v>
      </c>
      <c r="T888" t="s">
        <v>436</v>
      </c>
      <c r="U888">
        <v>0.13411202999999999</v>
      </c>
      <c r="V888" t="s">
        <v>568</v>
      </c>
      <c r="W888">
        <v>9.2731030000000013E-3</v>
      </c>
    </row>
    <row r="889" spans="1:23" x14ac:dyDescent="0.25">
      <c r="A889" s="3" t="str">
        <f>HYPERLINK("http://ids.si.edu/ids/deliveryService?id=NMAH-AHB2016q043583","NMAH-AHB2016q043583")</f>
        <v>NMAH-AHB2016q043583</v>
      </c>
      <c r="B889" s="3" t="s">
        <v>2255</v>
      </c>
      <c r="C889" s="3">
        <v>606347</v>
      </c>
      <c r="D889" s="3" t="s">
        <v>424</v>
      </c>
      <c r="E889" s="4" t="s">
        <v>174</v>
      </c>
      <c r="F889" t="s">
        <v>543</v>
      </c>
      <c r="G889">
        <v>0.98354679346084595</v>
      </c>
      <c r="H889" t="s">
        <v>535</v>
      </c>
      <c r="I889">
        <v>0.83921521902084351</v>
      </c>
      <c r="J889" t="s">
        <v>2144</v>
      </c>
      <c r="K889" s="4">
        <v>0.83529120683670044</v>
      </c>
      <c r="L889" t="s">
        <v>706</v>
      </c>
      <c r="M889">
        <v>0.45771216999999997</v>
      </c>
      <c r="N889" t="s">
        <v>544</v>
      </c>
      <c r="O889">
        <v>0.17800389</v>
      </c>
      <c r="P889" t="s">
        <v>174</v>
      </c>
      <c r="Q889" s="4">
        <v>0.16049199</v>
      </c>
      <c r="R889" t="s">
        <v>174</v>
      </c>
      <c r="S889">
        <v>0.24851783</v>
      </c>
      <c r="T889" t="s">
        <v>545</v>
      </c>
      <c r="U889">
        <v>0.22960743</v>
      </c>
      <c r="V889" t="s">
        <v>336</v>
      </c>
      <c r="W889">
        <v>5.6410479999999999E-2</v>
      </c>
    </row>
    <row r="890" spans="1:23" x14ac:dyDescent="0.25">
      <c r="A890" s="3" t="str">
        <f>HYPERLINK("http://ids.si.edu/ids/deliveryService?id=NMAH-AHB2014q007548","NMAH-AHB2014q007548")</f>
        <v>NMAH-AHB2014q007548</v>
      </c>
      <c r="B890" s="3" t="s">
        <v>2256</v>
      </c>
      <c r="C890" s="3">
        <v>683744</v>
      </c>
      <c r="D890" s="3" t="s">
        <v>424</v>
      </c>
      <c r="E890" s="4" t="s">
        <v>263</v>
      </c>
      <c r="F890" t="s">
        <v>736</v>
      </c>
      <c r="G890">
        <v>0.95470666885375977</v>
      </c>
      <c r="H890" t="s">
        <v>728</v>
      </c>
      <c r="I890">
        <v>0.9082910418510437</v>
      </c>
      <c r="J890" t="s">
        <v>1474</v>
      </c>
      <c r="K890" s="4">
        <v>0.85791105031967163</v>
      </c>
      <c r="L890" t="s">
        <v>66</v>
      </c>
      <c r="M890">
        <v>0.77410703999999997</v>
      </c>
      <c r="N890" t="s">
        <v>65</v>
      </c>
      <c r="O890">
        <v>6.4343059999999994E-2</v>
      </c>
      <c r="P890" t="s">
        <v>152</v>
      </c>
      <c r="Q890" s="4">
        <v>2.8372826E-2</v>
      </c>
      <c r="R890" t="s">
        <v>42</v>
      </c>
      <c r="S890">
        <v>0.25769246000000001</v>
      </c>
      <c r="T890" t="s">
        <v>66</v>
      </c>
      <c r="U890">
        <v>0.21485597000000001</v>
      </c>
      <c r="V890" t="s">
        <v>46</v>
      </c>
      <c r="W890">
        <v>0.20505590000000001</v>
      </c>
    </row>
    <row r="891" spans="1:23" x14ac:dyDescent="0.25">
      <c r="A891" s="3" t="str">
        <f>HYPERLINK("http://ids.si.edu/ids/deliveryService?id=NMAH-AHB2016q047343","NMAH-AHB2016q047343")</f>
        <v>NMAH-AHB2016q047343</v>
      </c>
      <c r="B891" s="3" t="s">
        <v>2257</v>
      </c>
      <c r="C891" s="3">
        <v>1457327</v>
      </c>
      <c r="D891" s="3" t="s">
        <v>424</v>
      </c>
      <c r="E891" s="4" t="s">
        <v>531</v>
      </c>
      <c r="F891" t="s">
        <v>2258</v>
      </c>
      <c r="G891">
        <v>0.633983314037323</v>
      </c>
      <c r="H891" t="s">
        <v>532</v>
      </c>
      <c r="I891">
        <v>0.57088285684585571</v>
      </c>
      <c r="L891" t="s">
        <v>151</v>
      </c>
      <c r="M891">
        <v>0.41709151999999999</v>
      </c>
      <c r="N891" t="s">
        <v>370</v>
      </c>
      <c r="O891">
        <v>0.380685</v>
      </c>
      <c r="P891" t="s">
        <v>93</v>
      </c>
      <c r="Q891" s="4">
        <v>6.5148460000000005E-2</v>
      </c>
      <c r="R891" t="s">
        <v>370</v>
      </c>
      <c r="S891">
        <v>0.24071819</v>
      </c>
      <c r="T891" t="s">
        <v>151</v>
      </c>
      <c r="U891">
        <v>0.10929675</v>
      </c>
      <c r="V891" t="s">
        <v>495</v>
      </c>
      <c r="W891">
        <v>9.9584270000000003E-2</v>
      </c>
    </row>
    <row r="892" spans="1:23" x14ac:dyDescent="0.25">
      <c r="A892" s="3" t="str">
        <f>HYPERLINK("http://ids.si.edu/ids/deliveryService?id=NMAH-AHB2010q66129-001","NMAH-AHB2010q66129-001")</f>
        <v>NMAH-AHB2010q66129-001</v>
      </c>
      <c r="B892" s="3" t="s">
        <v>2259</v>
      </c>
      <c r="C892" s="3">
        <v>1196981</v>
      </c>
      <c r="D892" s="3" t="s">
        <v>424</v>
      </c>
      <c r="E892" s="4" t="s">
        <v>2137</v>
      </c>
      <c r="F892" t="s">
        <v>929</v>
      </c>
      <c r="G892">
        <v>0.89961332082748413</v>
      </c>
      <c r="H892" t="s">
        <v>809</v>
      </c>
      <c r="I892">
        <v>0.80874431133270264</v>
      </c>
      <c r="J892" t="s">
        <v>928</v>
      </c>
      <c r="K892" s="4">
        <v>0.72677826881408691</v>
      </c>
      <c r="L892" t="s">
        <v>404</v>
      </c>
      <c r="M892">
        <v>0.31270769999999998</v>
      </c>
      <c r="N892" t="s">
        <v>847</v>
      </c>
      <c r="O892">
        <v>0.13439593999999999</v>
      </c>
      <c r="P892" t="s">
        <v>362</v>
      </c>
      <c r="Q892" s="4">
        <v>0.1097993</v>
      </c>
      <c r="R892" t="s">
        <v>847</v>
      </c>
      <c r="S892">
        <v>0.31201606999999998</v>
      </c>
      <c r="T892" t="s">
        <v>1071</v>
      </c>
      <c r="U892">
        <v>0.17349955</v>
      </c>
      <c r="V892" t="s">
        <v>365</v>
      </c>
      <c r="W892">
        <v>6.1961714000000001E-2</v>
      </c>
    </row>
    <row r="893" spans="1:23" x14ac:dyDescent="0.25">
      <c r="A893" s="3" t="str">
        <f>HYPERLINK("http://ids.si.edu/ids/deliveryService?id=NMAH-AHB2006q22172","NMAH-AHB2006q22172")</f>
        <v>NMAH-AHB2006q22172</v>
      </c>
      <c r="B893" s="3" t="s">
        <v>2260</v>
      </c>
      <c r="C893" s="3">
        <v>676249</v>
      </c>
      <c r="D893" s="3" t="s">
        <v>424</v>
      </c>
      <c r="E893" s="4" t="s">
        <v>425</v>
      </c>
      <c r="F893" t="s">
        <v>126</v>
      </c>
      <c r="G893">
        <v>0.68993693590164185</v>
      </c>
      <c r="L893" t="s">
        <v>65</v>
      </c>
      <c r="M893">
        <v>0.95253664000000005</v>
      </c>
      <c r="N893" t="s">
        <v>79</v>
      </c>
      <c r="O893">
        <v>2.0771906E-2</v>
      </c>
      <c r="P893" t="s">
        <v>460</v>
      </c>
      <c r="Q893" s="4">
        <v>7.0013814000000002E-3</v>
      </c>
      <c r="R893" t="s">
        <v>65</v>
      </c>
      <c r="S893">
        <v>0.54380494000000001</v>
      </c>
      <c r="T893" t="s">
        <v>209</v>
      </c>
      <c r="U893">
        <v>6.6932279999999997E-2</v>
      </c>
      <c r="V893" t="s">
        <v>134</v>
      </c>
      <c r="W893">
        <v>3.9122824E-2</v>
      </c>
    </row>
    <row r="894" spans="1:23" x14ac:dyDescent="0.25">
      <c r="A894" s="3" t="str">
        <f>HYPERLINK("http://ids.si.edu/ids/deliveryService?id=NMAH-AHB2006q25049","NMAH-AHB2006q25049")</f>
        <v>NMAH-AHB2006q25049</v>
      </c>
      <c r="B894" s="3" t="s">
        <v>2261</v>
      </c>
      <c r="C894" s="3">
        <v>1213484</v>
      </c>
      <c r="D894" s="3" t="s">
        <v>424</v>
      </c>
      <c r="E894" s="4" t="s">
        <v>425</v>
      </c>
      <c r="F894" t="s">
        <v>61</v>
      </c>
      <c r="G894">
        <v>0.86929196119308472</v>
      </c>
      <c r="H894" t="s">
        <v>62</v>
      </c>
      <c r="I894">
        <v>0.5813031792640686</v>
      </c>
      <c r="J894" t="s">
        <v>447</v>
      </c>
      <c r="K894" s="4">
        <v>0.5773124098777771</v>
      </c>
      <c r="L894" t="s">
        <v>65</v>
      </c>
      <c r="M894">
        <v>0.98692685000000002</v>
      </c>
      <c r="N894" t="s">
        <v>66</v>
      </c>
      <c r="O894">
        <v>6.3357569999999992E-3</v>
      </c>
      <c r="P894" t="s">
        <v>79</v>
      </c>
      <c r="Q894" s="4">
        <v>3.1732017999999999E-3</v>
      </c>
      <c r="R894" t="s">
        <v>65</v>
      </c>
      <c r="S894">
        <v>0.69744249999999997</v>
      </c>
      <c r="T894" t="s">
        <v>66</v>
      </c>
      <c r="U894">
        <v>0.121776275</v>
      </c>
      <c r="V894" t="s">
        <v>209</v>
      </c>
      <c r="W894">
        <v>9.3356289999999995E-2</v>
      </c>
    </row>
    <row r="895" spans="1:23" x14ac:dyDescent="0.25">
      <c r="A895" s="3" t="str">
        <f>HYPERLINK("http://ids.si.edu/ids/deliveryService?id=NMAH-AHB2006q24875","NMAH-AHB2006q24875")</f>
        <v>NMAH-AHB2006q24875</v>
      </c>
      <c r="B895" s="3" t="s">
        <v>2262</v>
      </c>
      <c r="C895" s="3">
        <v>1213400</v>
      </c>
      <c r="D895" s="3" t="s">
        <v>424</v>
      </c>
      <c r="E895" s="4" t="s">
        <v>425</v>
      </c>
      <c r="F895" t="s">
        <v>61</v>
      </c>
      <c r="G895">
        <v>0.89013081789016724</v>
      </c>
      <c r="H895" t="s">
        <v>2263</v>
      </c>
      <c r="I895">
        <v>0.70703995227813721</v>
      </c>
      <c r="J895" t="s">
        <v>126</v>
      </c>
      <c r="K895" s="4">
        <v>0.65489077568054199</v>
      </c>
      <c r="L895" t="s">
        <v>65</v>
      </c>
      <c r="M895">
        <v>0.99628793999999998</v>
      </c>
      <c r="N895" t="s">
        <v>129</v>
      </c>
      <c r="O895">
        <v>1.0040927000000001E-3</v>
      </c>
      <c r="P895" t="s">
        <v>209</v>
      </c>
      <c r="Q895" s="4">
        <v>5.7516304999999997E-4</v>
      </c>
      <c r="R895" t="s">
        <v>65</v>
      </c>
      <c r="S895">
        <v>0.83293885000000001</v>
      </c>
      <c r="T895" t="s">
        <v>66</v>
      </c>
      <c r="U895">
        <v>1.5666869E-2</v>
      </c>
      <c r="V895" t="s">
        <v>209</v>
      </c>
      <c r="W895">
        <v>1.2654988000000001E-2</v>
      </c>
    </row>
    <row r="896" spans="1:23" x14ac:dyDescent="0.25">
      <c r="A896" s="3" t="str">
        <f>HYPERLINK("http://ids.si.edu/ids/deliveryService?id=NMAH-90-16943","NMAH-90-16943")</f>
        <v>NMAH-90-16943</v>
      </c>
      <c r="B896" s="3" t="s">
        <v>2264</v>
      </c>
      <c r="C896" s="3">
        <v>605545</v>
      </c>
      <c r="D896" s="3" t="s">
        <v>424</v>
      </c>
      <c r="E896" s="4" t="s">
        <v>492</v>
      </c>
      <c r="F896" t="s">
        <v>434</v>
      </c>
      <c r="G896">
        <v>0.99186807870864868</v>
      </c>
      <c r="H896" t="s">
        <v>433</v>
      </c>
      <c r="I896">
        <v>0.98492717742919922</v>
      </c>
      <c r="J896" t="s">
        <v>551</v>
      </c>
      <c r="K896" s="4">
        <v>0.98264175653457642</v>
      </c>
      <c r="L896" t="s">
        <v>492</v>
      </c>
      <c r="M896">
        <v>0.89356524000000004</v>
      </c>
      <c r="N896" t="s">
        <v>552</v>
      </c>
      <c r="O896">
        <v>0.10634686</v>
      </c>
      <c r="P896" t="s">
        <v>436</v>
      </c>
      <c r="Q896" s="4">
        <v>5.2024110000000003E-5</v>
      </c>
      <c r="R896" t="s">
        <v>492</v>
      </c>
      <c r="S896">
        <v>0.92737955000000005</v>
      </c>
      <c r="T896" t="s">
        <v>552</v>
      </c>
      <c r="U896">
        <v>7.1803229999999996E-2</v>
      </c>
      <c r="V896" t="s">
        <v>436</v>
      </c>
      <c r="W896">
        <v>4.4246385E-4</v>
      </c>
    </row>
    <row r="897" spans="1:23" x14ac:dyDescent="0.25">
      <c r="A897" s="3" t="str">
        <f>HYPERLINK("http://ids.si.edu/ids/deliveryService?id=NMAH-AHB2013q081768","NMAH-AHB2013q081768")</f>
        <v>NMAH-AHB2013q081768</v>
      </c>
      <c r="B897" s="3" t="s">
        <v>2265</v>
      </c>
      <c r="C897" s="3">
        <v>302160</v>
      </c>
      <c r="D897" s="3" t="s">
        <v>797</v>
      </c>
      <c r="E897" s="4" t="s">
        <v>850</v>
      </c>
      <c r="F897" t="s">
        <v>851</v>
      </c>
      <c r="G897">
        <v>0.96221274137496948</v>
      </c>
      <c r="H897" t="s">
        <v>816</v>
      </c>
      <c r="I897">
        <v>0.93964594602584839</v>
      </c>
      <c r="J897" t="s">
        <v>91</v>
      </c>
      <c r="K897" s="4">
        <v>0.91031128168106079</v>
      </c>
      <c r="L897" t="s">
        <v>498</v>
      </c>
      <c r="M897">
        <v>0.72761430000000005</v>
      </c>
      <c r="N897" t="s">
        <v>1093</v>
      </c>
      <c r="O897">
        <v>0.15993202000000001</v>
      </c>
      <c r="P897" t="s">
        <v>83</v>
      </c>
      <c r="Q897" s="4">
        <v>5.3415987999999998E-2</v>
      </c>
      <c r="R897" t="s">
        <v>83</v>
      </c>
      <c r="S897">
        <v>0.5629345</v>
      </c>
      <c r="T897" t="s">
        <v>498</v>
      </c>
      <c r="U897">
        <v>9.5726290000000006E-2</v>
      </c>
      <c r="V897" t="s">
        <v>159</v>
      </c>
      <c r="W897">
        <v>8.8704580000000005E-2</v>
      </c>
    </row>
    <row r="898" spans="1:23" x14ac:dyDescent="0.25">
      <c r="A898" s="3" t="str">
        <f>HYPERLINK("http://ids.si.edu/ids/deliveryService?id=NMAH-AHB2014q054863","NMAH-AHB2014q054863")</f>
        <v>NMAH-AHB2014q054863</v>
      </c>
      <c r="B898" s="3" t="s">
        <v>2266</v>
      </c>
      <c r="C898" s="3">
        <v>309670</v>
      </c>
      <c r="D898" s="3" t="s">
        <v>797</v>
      </c>
      <c r="E898" s="4" t="s">
        <v>1036</v>
      </c>
      <c r="F898" t="s">
        <v>147</v>
      </c>
      <c r="G898">
        <v>0.91726016998291016</v>
      </c>
      <c r="H898" t="s">
        <v>38</v>
      </c>
      <c r="I898">
        <v>0.55728942155838013</v>
      </c>
      <c r="L898" t="s">
        <v>673</v>
      </c>
      <c r="M898">
        <v>0.54492085999999995</v>
      </c>
      <c r="N898" t="s">
        <v>65</v>
      </c>
      <c r="O898">
        <v>2.2164315E-2</v>
      </c>
      <c r="P898" t="s">
        <v>358</v>
      </c>
      <c r="Q898" s="4">
        <v>1.7901179999999999E-2</v>
      </c>
      <c r="R898" t="s">
        <v>685</v>
      </c>
      <c r="S898">
        <v>0.27607100000000001</v>
      </c>
      <c r="T898" t="s">
        <v>601</v>
      </c>
      <c r="U898">
        <v>0.13379568</v>
      </c>
      <c r="V898" t="s">
        <v>460</v>
      </c>
      <c r="W898">
        <v>0.117769964</v>
      </c>
    </row>
    <row r="899" spans="1:23" x14ac:dyDescent="0.25">
      <c r="A899" s="3" t="str">
        <f>HYPERLINK("http://ids.si.edu/ids/deliveryService?id=NMAH-JN2014-3978","NMAH-JN2014-3978")</f>
        <v>NMAH-JN2014-3978</v>
      </c>
      <c r="B899" s="3" t="s">
        <v>2267</v>
      </c>
      <c r="C899" s="3">
        <v>1170456</v>
      </c>
      <c r="D899" s="3" t="s">
        <v>797</v>
      </c>
      <c r="E899" s="4" t="s">
        <v>1000</v>
      </c>
      <c r="F899" t="s">
        <v>832</v>
      </c>
      <c r="G899">
        <v>0.90762865543365479</v>
      </c>
      <c r="H899" t="s">
        <v>845</v>
      </c>
      <c r="I899">
        <v>0.73359060287475586</v>
      </c>
      <c r="J899" t="s">
        <v>837</v>
      </c>
      <c r="K899" s="4">
        <v>0.70788800716400146</v>
      </c>
      <c r="L899" t="s">
        <v>86</v>
      </c>
      <c r="M899">
        <v>0.74679815999999999</v>
      </c>
      <c r="N899" t="s">
        <v>847</v>
      </c>
      <c r="O899">
        <v>0.10388461</v>
      </c>
      <c r="P899" t="s">
        <v>416</v>
      </c>
      <c r="Q899" s="4">
        <v>3.6159682999999998E-2</v>
      </c>
      <c r="R899" t="s">
        <v>86</v>
      </c>
      <c r="S899">
        <v>0.70085240000000004</v>
      </c>
      <c r="T899" t="s">
        <v>416</v>
      </c>
      <c r="U899">
        <v>0.23099980000000001</v>
      </c>
      <c r="V899" t="s">
        <v>847</v>
      </c>
      <c r="W899">
        <v>2.6629898999999999E-2</v>
      </c>
    </row>
    <row r="900" spans="1:23" x14ac:dyDescent="0.25">
      <c r="A900" s="3" t="str">
        <f>HYPERLINK("http://ids.si.edu/ids/deliveryService?id=NMAH-AHB2013q102243","NMAH-AHB2013q102243")</f>
        <v>NMAH-AHB2013q102243</v>
      </c>
      <c r="B900" s="3" t="s">
        <v>2268</v>
      </c>
      <c r="C900" s="3">
        <v>310465</v>
      </c>
      <c r="D900" s="3" t="s">
        <v>797</v>
      </c>
      <c r="E900" s="4" t="s">
        <v>826</v>
      </c>
      <c r="F900" t="s">
        <v>1130</v>
      </c>
      <c r="G900">
        <v>0.96842563152313232</v>
      </c>
      <c r="H900" t="s">
        <v>2014</v>
      </c>
      <c r="I900">
        <v>0.7936476469039917</v>
      </c>
      <c r="J900" t="s">
        <v>143</v>
      </c>
      <c r="K900" s="4">
        <v>0.66966122388839722</v>
      </c>
      <c r="L900" t="s">
        <v>2269</v>
      </c>
      <c r="M900">
        <v>0.5151751</v>
      </c>
      <c r="N900" t="s">
        <v>2270</v>
      </c>
      <c r="O900">
        <v>0.44375052999999998</v>
      </c>
      <c r="P900" t="s">
        <v>2271</v>
      </c>
      <c r="Q900" s="4">
        <v>2.3587569999999999E-2</v>
      </c>
      <c r="R900" t="s">
        <v>2269</v>
      </c>
      <c r="S900">
        <v>0.35140579999999999</v>
      </c>
      <c r="T900" t="s">
        <v>2270</v>
      </c>
      <c r="U900">
        <v>0.23775241999999999</v>
      </c>
      <c r="V900" t="s">
        <v>2272</v>
      </c>
      <c r="W900">
        <v>8.7547929999999996E-2</v>
      </c>
    </row>
    <row r="901" spans="1:23" x14ac:dyDescent="0.25">
      <c r="A901" s="3" t="str">
        <f>HYPERLINK("http://ids.si.edu/ids/deliveryService?id=NMAH-AHB2014q066524","NMAH-AHB2014q066524")</f>
        <v>NMAH-AHB2014q066524</v>
      </c>
      <c r="B901" s="3" t="s">
        <v>2273</v>
      </c>
      <c r="C901" s="3">
        <v>1460964</v>
      </c>
      <c r="D901" s="3" t="s">
        <v>797</v>
      </c>
      <c r="E901" s="4" t="s">
        <v>740</v>
      </c>
      <c r="F901" t="s">
        <v>38</v>
      </c>
      <c r="G901">
        <v>0.57686591148376465</v>
      </c>
      <c r="L901" t="s">
        <v>149</v>
      </c>
      <c r="M901">
        <v>0.21800436000000001</v>
      </c>
      <c r="N901" t="s">
        <v>151</v>
      </c>
      <c r="O901">
        <v>0.14806839999999999</v>
      </c>
      <c r="P901" t="s">
        <v>260</v>
      </c>
      <c r="Q901" s="4">
        <v>5.5120237000000002E-2</v>
      </c>
      <c r="R901" t="s">
        <v>151</v>
      </c>
      <c r="S901">
        <v>0.17999217000000001</v>
      </c>
      <c r="T901" t="s">
        <v>185</v>
      </c>
      <c r="U901">
        <v>9.3289159999999996E-2</v>
      </c>
      <c r="V901" t="s">
        <v>149</v>
      </c>
      <c r="W901">
        <v>7.8524659999999996E-2</v>
      </c>
    </row>
    <row r="902" spans="1:23" x14ac:dyDescent="0.25">
      <c r="A902" s="3" t="str">
        <f>HYPERLINK("http://ids.si.edu/ids/deliveryService?id=NMAH-AHB2013q097875","NMAH-AHB2013q097875")</f>
        <v>NMAH-AHB2013q097875</v>
      </c>
      <c r="B902" s="3" t="s">
        <v>2274</v>
      </c>
      <c r="C902" s="3">
        <v>323773</v>
      </c>
      <c r="D902" s="3" t="s">
        <v>797</v>
      </c>
      <c r="E902" s="4" t="s">
        <v>2275</v>
      </c>
      <c r="F902" t="s">
        <v>91</v>
      </c>
      <c r="G902">
        <v>0.88283330202102661</v>
      </c>
      <c r="H902" t="s">
        <v>49</v>
      </c>
      <c r="I902">
        <v>0.81316584348678589</v>
      </c>
      <c r="J902" t="s">
        <v>139</v>
      </c>
      <c r="K902" s="4">
        <v>0.80614417791366577</v>
      </c>
      <c r="L902" t="s">
        <v>1584</v>
      </c>
      <c r="M902">
        <v>0.45987734000000002</v>
      </c>
      <c r="N902" t="s">
        <v>568</v>
      </c>
      <c r="O902">
        <v>0.12132497</v>
      </c>
      <c r="P902" t="s">
        <v>87</v>
      </c>
      <c r="Q902" s="4">
        <v>6.7844329999999994E-2</v>
      </c>
      <c r="R902" t="s">
        <v>260</v>
      </c>
      <c r="S902">
        <v>0.21173624999999999</v>
      </c>
      <c r="T902" t="s">
        <v>87</v>
      </c>
      <c r="U902">
        <v>9.4050309999999998E-2</v>
      </c>
      <c r="V902" t="s">
        <v>1584</v>
      </c>
      <c r="W902">
        <v>5.3474434000000001E-2</v>
      </c>
    </row>
    <row r="903" spans="1:23" x14ac:dyDescent="0.25">
      <c r="A903" s="3" t="str">
        <f>HYPERLINK("http://ids.si.edu/ids/deliveryService?id=NMAH-AHB2013q094418","NMAH-AHB2013q094418")</f>
        <v>NMAH-AHB2013q094418</v>
      </c>
      <c r="B903" s="3" t="s">
        <v>2276</v>
      </c>
      <c r="C903" s="3">
        <v>315108</v>
      </c>
      <c r="D903" s="3" t="s">
        <v>797</v>
      </c>
      <c r="E903" s="4" t="s">
        <v>965</v>
      </c>
      <c r="F903" t="s">
        <v>91</v>
      </c>
      <c r="G903">
        <v>0.88283330202102661</v>
      </c>
      <c r="H903" t="s">
        <v>2277</v>
      </c>
      <c r="I903">
        <v>0.75293457508087158</v>
      </c>
      <c r="J903" t="s">
        <v>932</v>
      </c>
      <c r="K903" s="4">
        <v>0.75103950500488281</v>
      </c>
      <c r="L903" t="s">
        <v>175</v>
      </c>
      <c r="M903">
        <v>0.17524903</v>
      </c>
      <c r="N903" t="s">
        <v>215</v>
      </c>
      <c r="O903">
        <v>0.17061209999999999</v>
      </c>
      <c r="P903" t="s">
        <v>141</v>
      </c>
      <c r="Q903" s="4">
        <v>8.0739340000000007E-2</v>
      </c>
      <c r="R903" t="s">
        <v>1093</v>
      </c>
      <c r="S903">
        <v>6.0739613999999997E-2</v>
      </c>
      <c r="T903" t="s">
        <v>175</v>
      </c>
      <c r="U903">
        <v>5.9177067E-2</v>
      </c>
      <c r="V903" t="s">
        <v>2278</v>
      </c>
      <c r="W903">
        <v>5.0812199999999988E-2</v>
      </c>
    </row>
    <row r="904" spans="1:23" x14ac:dyDescent="0.25">
      <c r="A904" s="3" t="str">
        <f>HYPERLINK("http://ids.si.edu/ids/deliveryService?id=NMAH-2011-04464","NMAH-2011-04464")</f>
        <v>NMAH-2011-04464</v>
      </c>
      <c r="B904" s="3" t="s">
        <v>2279</v>
      </c>
      <c r="C904" s="3">
        <v>324898</v>
      </c>
      <c r="D904" s="3" t="s">
        <v>797</v>
      </c>
      <c r="E904" s="4" t="s">
        <v>803</v>
      </c>
      <c r="F904" t="s">
        <v>264</v>
      </c>
      <c r="G904">
        <v>0.92548733949661255</v>
      </c>
      <c r="H904" t="s">
        <v>62</v>
      </c>
      <c r="I904">
        <v>0.81325769424438477</v>
      </c>
      <c r="J904" t="s">
        <v>1284</v>
      </c>
      <c r="K904" s="4">
        <v>0.72158074378967285</v>
      </c>
      <c r="L904" t="s">
        <v>65</v>
      </c>
      <c r="M904">
        <v>0.35870403000000001</v>
      </c>
      <c r="N904" t="s">
        <v>804</v>
      </c>
      <c r="O904">
        <v>0.12858327</v>
      </c>
      <c r="P904" t="s">
        <v>426</v>
      </c>
      <c r="Q904" s="4">
        <v>4.7956317999999998E-2</v>
      </c>
      <c r="R904" t="s">
        <v>65</v>
      </c>
      <c r="S904">
        <v>0.31028349999999999</v>
      </c>
      <c r="T904" t="s">
        <v>652</v>
      </c>
      <c r="U904">
        <v>0.10925058</v>
      </c>
      <c r="V904" t="s">
        <v>804</v>
      </c>
      <c r="W904">
        <v>9.3473180000000003E-2</v>
      </c>
    </row>
    <row r="905" spans="1:23" x14ac:dyDescent="0.25">
      <c r="A905" s="3" t="str">
        <f>HYPERLINK("http://ids.si.edu/ids/deliveryService?id=NMAH-AHB2013q098054","NMAH-AHB2013q098054")</f>
        <v>NMAH-AHB2013q098054</v>
      </c>
      <c r="B905" s="3" t="s">
        <v>2280</v>
      </c>
      <c r="C905" s="3">
        <v>1452435</v>
      </c>
      <c r="D905" s="3" t="s">
        <v>797</v>
      </c>
      <c r="E905" s="4" t="s">
        <v>842</v>
      </c>
      <c r="F905" t="s">
        <v>61</v>
      </c>
      <c r="G905">
        <v>0.85248786211013794</v>
      </c>
      <c r="H905" t="s">
        <v>301</v>
      </c>
      <c r="I905">
        <v>0.6113276481628418</v>
      </c>
      <c r="J905" t="s">
        <v>1254</v>
      </c>
      <c r="K905" s="4">
        <v>0.51895958185195923</v>
      </c>
      <c r="L905" t="s">
        <v>66</v>
      </c>
      <c r="M905">
        <v>0.4152826</v>
      </c>
      <c r="N905" t="s">
        <v>571</v>
      </c>
      <c r="O905">
        <v>0.17875907999999999</v>
      </c>
      <c r="P905" t="s">
        <v>369</v>
      </c>
      <c r="Q905" s="4">
        <v>6.6814719999999994E-2</v>
      </c>
      <c r="R905" t="s">
        <v>66</v>
      </c>
      <c r="S905">
        <v>0.50238470000000002</v>
      </c>
      <c r="T905" t="s">
        <v>369</v>
      </c>
      <c r="U905">
        <v>3.6957393999999998E-2</v>
      </c>
      <c r="V905" t="s">
        <v>571</v>
      </c>
      <c r="W905">
        <v>2.330759E-2</v>
      </c>
    </row>
    <row r="906" spans="1:23" x14ac:dyDescent="0.25">
      <c r="A906" s="3" t="str">
        <f>HYPERLINK("http://ids.si.edu/ids/deliveryService?id=NMAH-AHB2015q039788","NMAH-AHB2015q039788")</f>
        <v>NMAH-AHB2015q039788</v>
      </c>
      <c r="B906" s="3" t="s">
        <v>2281</v>
      </c>
      <c r="C906" s="3">
        <v>572406</v>
      </c>
      <c r="D906" s="3" t="s">
        <v>797</v>
      </c>
      <c r="E906" s="4" t="s">
        <v>30</v>
      </c>
      <c r="F906" t="s">
        <v>832</v>
      </c>
      <c r="G906">
        <v>0.96428006887435913</v>
      </c>
      <c r="H906" t="s">
        <v>928</v>
      </c>
      <c r="I906">
        <v>0.94544124603271484</v>
      </c>
      <c r="J906" t="s">
        <v>929</v>
      </c>
      <c r="K906" s="4">
        <v>0.94337427616119385</v>
      </c>
      <c r="L906" t="s">
        <v>86</v>
      </c>
      <c r="M906">
        <v>0.41091951999999998</v>
      </c>
      <c r="N906" t="s">
        <v>847</v>
      </c>
      <c r="O906">
        <v>0.19479708000000001</v>
      </c>
      <c r="P906" t="s">
        <v>30</v>
      </c>
      <c r="Q906" s="4">
        <v>0.19262056</v>
      </c>
      <c r="R906" t="s">
        <v>86</v>
      </c>
      <c r="S906">
        <v>0.343468</v>
      </c>
      <c r="T906" t="s">
        <v>848</v>
      </c>
      <c r="U906">
        <v>0.17197762</v>
      </c>
      <c r="V906" t="s">
        <v>30</v>
      </c>
      <c r="W906">
        <v>0.16715332999999999</v>
      </c>
    </row>
    <row r="907" spans="1:23" x14ac:dyDescent="0.25">
      <c r="A907" s="3" t="str">
        <f>HYPERLINK("http://ids.si.edu/ids/deliveryService?id=NMAH-AHB2013q093727","NMAH-AHB2013q093727")</f>
        <v>NMAH-AHB2013q093727</v>
      </c>
      <c r="B907" s="3" t="s">
        <v>2282</v>
      </c>
      <c r="C907" s="3">
        <v>309185</v>
      </c>
      <c r="D907" s="3" t="s">
        <v>797</v>
      </c>
      <c r="E907" s="4" t="s">
        <v>2283</v>
      </c>
      <c r="F907" t="s">
        <v>2284</v>
      </c>
      <c r="G907">
        <v>0.68739652633666992</v>
      </c>
      <c r="H907" t="s">
        <v>2285</v>
      </c>
      <c r="I907">
        <v>0.62684178352355957</v>
      </c>
      <c r="J907" t="s">
        <v>256</v>
      </c>
      <c r="K907" s="4">
        <v>0.59585320949554443</v>
      </c>
      <c r="L907" t="s">
        <v>93</v>
      </c>
      <c r="M907">
        <v>0.75658654999999997</v>
      </c>
      <c r="N907" t="s">
        <v>151</v>
      </c>
      <c r="O907">
        <v>6.3078380000000003E-2</v>
      </c>
      <c r="P907" t="s">
        <v>397</v>
      </c>
      <c r="Q907" s="4">
        <v>3.4383900000000002E-2</v>
      </c>
      <c r="R907" t="s">
        <v>151</v>
      </c>
      <c r="S907">
        <v>0.41726983000000001</v>
      </c>
      <c r="T907" t="s">
        <v>93</v>
      </c>
      <c r="U907">
        <v>8.9636240000000006E-2</v>
      </c>
      <c r="V907" t="s">
        <v>495</v>
      </c>
      <c r="W907">
        <v>8.2999160000000002E-2</v>
      </c>
    </row>
    <row r="908" spans="1:23" x14ac:dyDescent="0.25">
      <c r="A908" s="3" t="str">
        <f>HYPERLINK("http://ids.si.edu/ids/deliveryService?id=NMAH-AHB2014q060384","NMAH-AHB2014q060384")</f>
        <v>NMAH-AHB2014q060384</v>
      </c>
      <c r="B908" s="3" t="s">
        <v>2286</v>
      </c>
      <c r="C908" s="3">
        <v>1180779</v>
      </c>
      <c r="D908" s="3" t="s">
        <v>797</v>
      </c>
      <c r="E908" s="4" t="s">
        <v>912</v>
      </c>
      <c r="F908" t="s">
        <v>506</v>
      </c>
      <c r="G908">
        <v>0.9738391637802124</v>
      </c>
      <c r="H908" t="s">
        <v>1578</v>
      </c>
      <c r="I908">
        <v>0.72898000478744507</v>
      </c>
      <c r="J908" t="s">
        <v>281</v>
      </c>
      <c r="K908" s="4">
        <v>0.67511099576950073</v>
      </c>
      <c r="L908" t="s">
        <v>357</v>
      </c>
      <c r="M908">
        <v>0.1560735</v>
      </c>
      <c r="N908" t="s">
        <v>213</v>
      </c>
      <c r="O908">
        <v>6.8183919999999995E-2</v>
      </c>
      <c r="P908" t="s">
        <v>600</v>
      </c>
      <c r="Q908" s="4">
        <v>6.6295850000000003E-2</v>
      </c>
      <c r="R908" t="s">
        <v>113</v>
      </c>
      <c r="S908">
        <v>7.1756410000000007E-2</v>
      </c>
      <c r="T908" t="s">
        <v>804</v>
      </c>
      <c r="U908">
        <v>6.2358120000000003E-2</v>
      </c>
      <c r="V908" t="s">
        <v>411</v>
      </c>
      <c r="W908">
        <v>5.7282187000000012E-2</v>
      </c>
    </row>
    <row r="909" spans="1:23" x14ac:dyDescent="0.25">
      <c r="A909" s="3" t="str">
        <f>HYPERLINK("http://ids.si.edu/ids/deliveryService?id=NMAH-AHB2015q001049","NMAH-AHB2015q001049")</f>
        <v>NMAH-AHB2015q001049</v>
      </c>
      <c r="B909" s="3" t="s">
        <v>2287</v>
      </c>
      <c r="C909" s="3">
        <v>1442750</v>
      </c>
      <c r="D909" s="3" t="s">
        <v>797</v>
      </c>
      <c r="E909" s="4" t="s">
        <v>960</v>
      </c>
      <c r="F909" t="s">
        <v>617</v>
      </c>
      <c r="G909">
        <v>0.78878700733184814</v>
      </c>
      <c r="H909" t="s">
        <v>870</v>
      </c>
      <c r="I909">
        <v>0.73713475465774536</v>
      </c>
      <c r="J909" t="s">
        <v>725</v>
      </c>
      <c r="K909" s="4">
        <v>0.73012000322341919</v>
      </c>
      <c r="L909" t="s">
        <v>42</v>
      </c>
      <c r="M909">
        <v>0.44688368000000001</v>
      </c>
      <c r="N909" t="s">
        <v>65</v>
      </c>
      <c r="O909">
        <v>4.6611399999999997E-2</v>
      </c>
      <c r="P909" t="s">
        <v>678</v>
      </c>
      <c r="Q909" s="4">
        <v>4.3626837000000002E-2</v>
      </c>
      <c r="R909" t="s">
        <v>1029</v>
      </c>
      <c r="S909">
        <v>0.31653832999999998</v>
      </c>
      <c r="T909" t="s">
        <v>42</v>
      </c>
      <c r="U909">
        <v>0.29789357999999999</v>
      </c>
      <c r="V909" t="s">
        <v>199</v>
      </c>
      <c r="W909">
        <v>8.5655270000000006E-2</v>
      </c>
    </row>
    <row r="910" spans="1:23" x14ac:dyDescent="0.25">
      <c r="A910" s="3" t="str">
        <f>HYPERLINK("http://ids.si.edu/ids/deliveryService?id=NMAH-2007-15144","NMAH-2007-15144")</f>
        <v>NMAH-2007-15144</v>
      </c>
      <c r="B910" s="3" t="s">
        <v>2288</v>
      </c>
      <c r="C910" s="3">
        <v>324261</v>
      </c>
      <c r="D910" s="3" t="s">
        <v>797</v>
      </c>
      <c r="E910" s="4" t="s">
        <v>2289</v>
      </c>
      <c r="L910" t="s">
        <v>185</v>
      </c>
      <c r="M910">
        <v>0.15095057000000001</v>
      </c>
      <c r="N910" t="s">
        <v>452</v>
      </c>
      <c r="O910">
        <v>0.13508642000000001</v>
      </c>
      <c r="P910" t="s">
        <v>1764</v>
      </c>
      <c r="Q910" s="4">
        <v>7.1748264000000006E-2</v>
      </c>
      <c r="R910" t="s">
        <v>1764</v>
      </c>
      <c r="S910">
        <v>0.20753152999999999</v>
      </c>
      <c r="T910" t="s">
        <v>1218</v>
      </c>
      <c r="U910">
        <v>0.13710960999999999</v>
      </c>
      <c r="V910" t="s">
        <v>185</v>
      </c>
      <c r="W910">
        <v>9.4697600000000007E-2</v>
      </c>
    </row>
    <row r="911" spans="1:23" x14ac:dyDescent="0.25">
      <c r="A911" s="3" t="str">
        <f>HYPERLINK("http://ids.si.edu/ids/deliveryService?id=NMAH-JN2014-4127","NMAH-JN2014-4127")</f>
        <v>NMAH-JN2014-4127</v>
      </c>
      <c r="B911" s="3" t="s">
        <v>2290</v>
      </c>
      <c r="C911" s="3">
        <v>1155897</v>
      </c>
      <c r="D911" s="3" t="s">
        <v>797</v>
      </c>
      <c r="E911" s="4" t="s">
        <v>1662</v>
      </c>
      <c r="F911" t="s">
        <v>101</v>
      </c>
      <c r="G911">
        <v>0.97188925743103027</v>
      </c>
      <c r="H911" t="s">
        <v>1663</v>
      </c>
      <c r="I911">
        <v>0.92126786708831787</v>
      </c>
      <c r="J911" t="s">
        <v>1578</v>
      </c>
      <c r="K911" s="4">
        <v>0.84932923316955566</v>
      </c>
      <c r="L911" t="s">
        <v>2186</v>
      </c>
      <c r="M911">
        <v>0.38670700000000002</v>
      </c>
      <c r="N911" t="s">
        <v>2186</v>
      </c>
      <c r="O911">
        <v>0.35661626000000002</v>
      </c>
      <c r="P911" t="s">
        <v>2291</v>
      </c>
      <c r="Q911" s="4">
        <v>7.5913355000000002E-2</v>
      </c>
      <c r="R911" t="s">
        <v>2186</v>
      </c>
      <c r="S911">
        <v>0.35999801999999997</v>
      </c>
      <c r="T911" t="s">
        <v>2186</v>
      </c>
      <c r="U911">
        <v>0.18012186999999999</v>
      </c>
      <c r="V911" t="s">
        <v>768</v>
      </c>
      <c r="W911">
        <v>7.9221399999999997E-2</v>
      </c>
    </row>
    <row r="912" spans="1:23" x14ac:dyDescent="0.25">
      <c r="A912" s="3" t="str">
        <f>HYPERLINK("http://ids.si.edu/ids/deliveryService?id=NMAH-AHB2013q081997","NMAH-AHB2013q081997")</f>
        <v>NMAH-AHB2013q081997</v>
      </c>
      <c r="B912" s="3" t="s">
        <v>2292</v>
      </c>
      <c r="C912" s="3">
        <v>307193</v>
      </c>
      <c r="D912" s="3" t="s">
        <v>797</v>
      </c>
      <c r="E912" s="4" t="s">
        <v>850</v>
      </c>
      <c r="F912" t="s">
        <v>851</v>
      </c>
      <c r="G912">
        <v>0.96606653928756714</v>
      </c>
      <c r="H912" t="s">
        <v>816</v>
      </c>
      <c r="I912">
        <v>0.9558069109916687</v>
      </c>
      <c r="J912" t="s">
        <v>809</v>
      </c>
      <c r="K912" s="4">
        <v>0.86600953340530396</v>
      </c>
      <c r="L912" t="s">
        <v>498</v>
      </c>
      <c r="M912">
        <v>0.45261917000000002</v>
      </c>
      <c r="N912" t="s">
        <v>83</v>
      </c>
      <c r="O912">
        <v>0.32906458</v>
      </c>
      <c r="P912" t="s">
        <v>703</v>
      </c>
      <c r="Q912" s="4">
        <v>2.2287640000000001E-2</v>
      </c>
      <c r="R912" t="s">
        <v>83</v>
      </c>
      <c r="S912">
        <v>0.67199130000000007</v>
      </c>
      <c r="T912" t="s">
        <v>157</v>
      </c>
      <c r="U912">
        <v>0.13302161000000001</v>
      </c>
      <c r="V912" t="s">
        <v>159</v>
      </c>
      <c r="W912">
        <v>5.7468020000000002E-2</v>
      </c>
    </row>
    <row r="913" spans="1:23" x14ac:dyDescent="0.25">
      <c r="A913" s="3" t="str">
        <f>HYPERLINK("http://ids.si.edu/ids/deliveryService?id=NMAH-2011-04457","NMAH-2011-04457")</f>
        <v>NMAH-2011-04457</v>
      </c>
      <c r="B913" s="3" t="s">
        <v>2293</v>
      </c>
      <c r="C913" s="3">
        <v>325467</v>
      </c>
      <c r="D913" s="3" t="s">
        <v>797</v>
      </c>
      <c r="E913" s="4" t="s">
        <v>803</v>
      </c>
      <c r="F913" t="s">
        <v>2294</v>
      </c>
      <c r="G913">
        <v>0.81823527812957764</v>
      </c>
      <c r="H913" t="s">
        <v>1474</v>
      </c>
      <c r="I913">
        <v>0.7732500433921814</v>
      </c>
      <c r="J913" t="s">
        <v>728</v>
      </c>
      <c r="K913" s="4">
        <v>0.76697182655334473</v>
      </c>
      <c r="L913" t="s">
        <v>426</v>
      </c>
      <c r="M913">
        <v>0.86569850000000004</v>
      </c>
      <c r="N913" t="s">
        <v>65</v>
      </c>
      <c r="O913">
        <v>4.4453359999999997E-2</v>
      </c>
      <c r="P913" t="s">
        <v>411</v>
      </c>
      <c r="Q913" s="4">
        <v>1.7411275E-2</v>
      </c>
      <c r="R913" t="s">
        <v>65</v>
      </c>
      <c r="S913">
        <v>0.59788640000000004</v>
      </c>
      <c r="T913" t="s">
        <v>426</v>
      </c>
      <c r="U913">
        <v>0.38835520000000001</v>
      </c>
      <c r="V913" t="s">
        <v>411</v>
      </c>
      <c r="W913">
        <v>3.1265474000000001E-3</v>
      </c>
    </row>
    <row r="914" spans="1:23" x14ac:dyDescent="0.25">
      <c r="A914" s="3" t="str">
        <f>HYPERLINK("http://ids.si.edu/ids/deliveryService?id=NMAH-AHB2016q055924","NMAH-AHB2016q055924")</f>
        <v>NMAH-AHB2016q055924</v>
      </c>
      <c r="B914" s="3" t="s">
        <v>2295</v>
      </c>
      <c r="C914" s="3">
        <v>579933</v>
      </c>
      <c r="D914" s="3" t="s">
        <v>797</v>
      </c>
      <c r="E914" s="4" t="s">
        <v>965</v>
      </c>
      <c r="F914" t="s">
        <v>91</v>
      </c>
      <c r="G914">
        <v>0.95539730787277222</v>
      </c>
      <c r="H914" t="s">
        <v>50</v>
      </c>
      <c r="I914">
        <v>0.5114516019821167</v>
      </c>
      <c r="L914" t="s">
        <v>926</v>
      </c>
      <c r="M914">
        <v>0.29136378000000002</v>
      </c>
      <c r="N914" t="s">
        <v>185</v>
      </c>
      <c r="O914">
        <v>0.23241687999999999</v>
      </c>
      <c r="P914" t="s">
        <v>389</v>
      </c>
      <c r="Q914" s="4">
        <v>9.9102129999999997E-2</v>
      </c>
      <c r="R914" t="s">
        <v>185</v>
      </c>
      <c r="S914">
        <v>0.23264699</v>
      </c>
      <c r="T914" t="s">
        <v>926</v>
      </c>
      <c r="U914">
        <v>0.22868653999999999</v>
      </c>
      <c r="V914" t="s">
        <v>93</v>
      </c>
      <c r="W914">
        <v>0.12070728999999999</v>
      </c>
    </row>
    <row r="915" spans="1:23" x14ac:dyDescent="0.25">
      <c r="A915" s="3" t="str">
        <f>HYPERLINK("http://ids.si.edu/ids/deliveryService?id=NMAH-AHB2013q082163","NMAH-AHB2013q082163")</f>
        <v>NMAH-AHB2013q082163</v>
      </c>
      <c r="B915" s="3" t="s">
        <v>2296</v>
      </c>
      <c r="C915" s="3">
        <v>318265</v>
      </c>
      <c r="D915" s="3" t="s">
        <v>797</v>
      </c>
      <c r="E915" s="4" t="s">
        <v>834</v>
      </c>
      <c r="F915" t="s">
        <v>907</v>
      </c>
      <c r="G915">
        <v>0.95439493656158447</v>
      </c>
      <c r="H915" t="s">
        <v>816</v>
      </c>
      <c r="I915">
        <v>0.95287752151489258</v>
      </c>
      <c r="J915" t="s">
        <v>809</v>
      </c>
      <c r="K915" s="4">
        <v>0.89545214176177979</v>
      </c>
      <c r="L915" t="s">
        <v>141</v>
      </c>
      <c r="M915">
        <v>0.30265775</v>
      </c>
      <c r="N915" t="s">
        <v>239</v>
      </c>
      <c r="O915">
        <v>0.22423466</v>
      </c>
      <c r="P915" t="s">
        <v>83</v>
      </c>
      <c r="Q915" s="4">
        <v>0.19899422999999999</v>
      </c>
      <c r="R915" t="s">
        <v>83</v>
      </c>
      <c r="S915">
        <v>0.39137541999999997</v>
      </c>
      <c r="T915" t="s">
        <v>157</v>
      </c>
      <c r="U915">
        <v>0.31942615000000002</v>
      </c>
      <c r="V915" t="s">
        <v>706</v>
      </c>
      <c r="W915">
        <v>7.1851103999999999E-2</v>
      </c>
    </row>
    <row r="916" spans="1:23" x14ac:dyDescent="0.25">
      <c r="A916" s="3" t="str">
        <f>HYPERLINK("http://ids.si.edu/ids/deliveryService?id=NMAH-AHB2013q091850","NMAH-AHB2013q091850")</f>
        <v>NMAH-AHB2013q091850</v>
      </c>
      <c r="B916" s="3" t="s">
        <v>2297</v>
      </c>
      <c r="C916" s="3">
        <v>323832</v>
      </c>
      <c r="D916" s="3" t="s">
        <v>797</v>
      </c>
      <c r="E916" s="4" t="s">
        <v>1055</v>
      </c>
      <c r="F916" t="s">
        <v>323</v>
      </c>
      <c r="G916">
        <v>0.9766465425491333</v>
      </c>
      <c r="H916" t="s">
        <v>910</v>
      </c>
      <c r="I916">
        <v>0.88836032152175903</v>
      </c>
      <c r="J916" t="s">
        <v>324</v>
      </c>
      <c r="K916" s="4">
        <v>0.88113242387771606</v>
      </c>
      <c r="L916" t="s">
        <v>52</v>
      </c>
      <c r="M916">
        <v>0.84810925000000004</v>
      </c>
      <c r="N916" t="s">
        <v>83</v>
      </c>
      <c r="O916">
        <v>0.101861514</v>
      </c>
      <c r="P916" t="s">
        <v>87</v>
      </c>
      <c r="Q916" s="4">
        <v>2.4010780999999998E-2</v>
      </c>
      <c r="R916" t="s">
        <v>83</v>
      </c>
      <c r="S916">
        <v>0.24755172</v>
      </c>
      <c r="T916" t="s">
        <v>53</v>
      </c>
      <c r="U916">
        <v>0.19550206000000001</v>
      </c>
      <c r="V916" t="s">
        <v>87</v>
      </c>
      <c r="W916">
        <v>0.14641324</v>
      </c>
    </row>
    <row r="917" spans="1:23" x14ac:dyDescent="0.25">
      <c r="A917" s="3" t="str">
        <f>HYPERLINK("http://ids.si.edu/ids/deliveryService?id=NMAH-AHB2013q094529","NMAH-AHB2013q094529")</f>
        <v>NMAH-AHB2013q094529</v>
      </c>
      <c r="B917" s="3" t="s">
        <v>2298</v>
      </c>
      <c r="C917" s="3">
        <v>312289</v>
      </c>
      <c r="D917" s="3" t="s">
        <v>797</v>
      </c>
      <c r="E917" s="4" t="s">
        <v>965</v>
      </c>
      <c r="F917" t="s">
        <v>91</v>
      </c>
      <c r="G917">
        <v>0.88283330202102661</v>
      </c>
      <c r="H917" t="s">
        <v>747</v>
      </c>
      <c r="I917">
        <v>0.82360982894897461</v>
      </c>
      <c r="J917" t="s">
        <v>1089</v>
      </c>
      <c r="K917" s="4">
        <v>0.57384270429611206</v>
      </c>
      <c r="L917" t="s">
        <v>175</v>
      </c>
      <c r="M917">
        <v>0.13176873</v>
      </c>
      <c r="N917" t="s">
        <v>495</v>
      </c>
      <c r="O917">
        <v>0.11805282</v>
      </c>
      <c r="P917" t="s">
        <v>159</v>
      </c>
      <c r="Q917" s="4">
        <v>7.1487590000000004E-2</v>
      </c>
      <c r="R917" t="s">
        <v>175</v>
      </c>
      <c r="S917">
        <v>0.12124278400000001</v>
      </c>
      <c r="T917" t="s">
        <v>245</v>
      </c>
      <c r="U917">
        <v>0.115865566</v>
      </c>
      <c r="V917" t="s">
        <v>159</v>
      </c>
      <c r="W917">
        <v>0.10526626</v>
      </c>
    </row>
    <row r="918" spans="1:23" x14ac:dyDescent="0.25">
      <c r="A918" s="3" t="str">
        <f>HYPERLINK("http://ids.si.edu/ids/deliveryService?id=NMAH-AHB2013q081529","NMAH-AHB2013q081529")</f>
        <v>NMAH-AHB2013q081529</v>
      </c>
      <c r="B918" s="3" t="s">
        <v>2300</v>
      </c>
      <c r="C918" s="3">
        <v>302009</v>
      </c>
      <c r="D918" s="3" t="s">
        <v>797</v>
      </c>
      <c r="E918" s="4" t="s">
        <v>834</v>
      </c>
      <c r="F918" t="s">
        <v>907</v>
      </c>
      <c r="G918">
        <v>0.91809719800949097</v>
      </c>
      <c r="H918" t="s">
        <v>816</v>
      </c>
      <c r="I918">
        <v>0.9086461067199707</v>
      </c>
      <c r="J918" t="s">
        <v>851</v>
      </c>
      <c r="K918" s="4">
        <v>0.84838283061981201</v>
      </c>
      <c r="L918" t="s">
        <v>83</v>
      </c>
      <c r="M918">
        <v>0.39084976999999999</v>
      </c>
      <c r="N918" t="s">
        <v>879</v>
      </c>
      <c r="O918">
        <v>0.33642048000000002</v>
      </c>
      <c r="P918" t="s">
        <v>498</v>
      </c>
      <c r="Q918" s="4">
        <v>9.4201170000000001E-2</v>
      </c>
      <c r="R918" t="s">
        <v>83</v>
      </c>
      <c r="S918">
        <v>0.49745650000000002</v>
      </c>
      <c r="T918" t="s">
        <v>157</v>
      </c>
      <c r="U918">
        <v>0.28947640000000002</v>
      </c>
      <c r="V918" t="s">
        <v>879</v>
      </c>
      <c r="W918">
        <v>2.0122467000000002E-2</v>
      </c>
    </row>
    <row r="919" spans="1:23" x14ac:dyDescent="0.25">
      <c r="A919" s="3" t="str">
        <f>HYPERLINK("http://ids.si.edu/ids/deliveryService?id=NMAH-AHB2013q093548","NMAH-AHB2013q093548")</f>
        <v>NMAH-AHB2013q093548</v>
      </c>
      <c r="B919" s="3" t="s">
        <v>2301</v>
      </c>
      <c r="C919" s="3">
        <v>313722</v>
      </c>
      <c r="D919" s="3" t="s">
        <v>797</v>
      </c>
      <c r="E919" s="4" t="s">
        <v>1044</v>
      </c>
      <c r="F919" t="s">
        <v>2302</v>
      </c>
      <c r="G919">
        <v>0.88849180936813354</v>
      </c>
      <c r="H919" t="s">
        <v>256</v>
      </c>
      <c r="I919">
        <v>0.8041832447052002</v>
      </c>
      <c r="J919" t="s">
        <v>991</v>
      </c>
      <c r="K919" s="4">
        <v>0.73850870132446289</v>
      </c>
      <c r="L919" t="s">
        <v>253</v>
      </c>
      <c r="M919">
        <v>0.15892327000000001</v>
      </c>
      <c r="N919" t="s">
        <v>151</v>
      </c>
      <c r="O919">
        <v>0.13124949999999999</v>
      </c>
      <c r="P919" t="s">
        <v>2303</v>
      </c>
      <c r="Q919" s="4">
        <v>0.11002762000000001</v>
      </c>
      <c r="R919" t="s">
        <v>253</v>
      </c>
      <c r="S919">
        <v>0.37385917000000002</v>
      </c>
      <c r="T919" t="s">
        <v>151</v>
      </c>
      <c r="U919">
        <v>8.7681964000000001E-2</v>
      </c>
      <c r="V919" t="s">
        <v>95</v>
      </c>
      <c r="W919">
        <v>4.6215289999999999E-2</v>
      </c>
    </row>
    <row r="920" spans="1:23" x14ac:dyDescent="0.25">
      <c r="A920" s="3" t="str">
        <f>HYPERLINK("http://ids.si.edu/ids/deliveryService?id=NMAH-AHB2013q081961","NMAH-AHB2013q081961")</f>
        <v>NMAH-AHB2013q081961</v>
      </c>
      <c r="B920" s="3" t="s">
        <v>2304</v>
      </c>
      <c r="C920" s="3">
        <v>302247</v>
      </c>
      <c r="D920" s="3" t="s">
        <v>797</v>
      </c>
      <c r="E920" s="4" t="s">
        <v>850</v>
      </c>
      <c r="F920" t="s">
        <v>851</v>
      </c>
      <c r="G920">
        <v>0.96794915199279785</v>
      </c>
      <c r="H920" t="s">
        <v>816</v>
      </c>
      <c r="I920">
        <v>0.95006746053695679</v>
      </c>
      <c r="J920" t="s">
        <v>91</v>
      </c>
      <c r="K920" s="4">
        <v>0.88283330202102661</v>
      </c>
      <c r="L920" t="s">
        <v>498</v>
      </c>
      <c r="M920">
        <v>0.83428799999999992</v>
      </c>
      <c r="N920" t="s">
        <v>83</v>
      </c>
      <c r="O920">
        <v>8.0612069999999994E-2</v>
      </c>
      <c r="P920" t="s">
        <v>98</v>
      </c>
      <c r="Q920" s="4">
        <v>2.1288853E-2</v>
      </c>
      <c r="R920" t="s">
        <v>83</v>
      </c>
      <c r="S920">
        <v>0.4868651</v>
      </c>
      <c r="T920" t="s">
        <v>157</v>
      </c>
      <c r="U920">
        <v>0.22631054</v>
      </c>
      <c r="V920" t="s">
        <v>175</v>
      </c>
      <c r="W920">
        <v>8.3015320000000004E-2</v>
      </c>
    </row>
    <row r="921" spans="1:23" x14ac:dyDescent="0.25">
      <c r="A921" s="3" t="str">
        <f>HYPERLINK("http://ids.si.edu/ids/deliveryService?id=NMAH-AHB2013q090209","NMAH-AHB2013q090209")</f>
        <v>NMAH-AHB2013q090209</v>
      </c>
      <c r="B921" s="3" t="s">
        <v>2305</v>
      </c>
      <c r="C921" s="3">
        <v>1449099</v>
      </c>
      <c r="D921" s="3" t="s">
        <v>797</v>
      </c>
      <c r="E921" s="4" t="s">
        <v>834</v>
      </c>
      <c r="F921" t="s">
        <v>907</v>
      </c>
      <c r="G921">
        <v>0.9247552752494812</v>
      </c>
      <c r="H921" t="s">
        <v>816</v>
      </c>
      <c r="I921">
        <v>0.90205520391464233</v>
      </c>
      <c r="J921" t="s">
        <v>851</v>
      </c>
      <c r="K921" s="4">
        <v>0.81315135955810547</v>
      </c>
      <c r="L921" t="s">
        <v>879</v>
      </c>
      <c r="M921">
        <v>0.53966359999999991</v>
      </c>
      <c r="N921" t="s">
        <v>84</v>
      </c>
      <c r="O921">
        <v>0.10196094999999999</v>
      </c>
      <c r="P921" t="s">
        <v>141</v>
      </c>
      <c r="Q921" s="4">
        <v>6.4689785E-2</v>
      </c>
      <c r="R921" t="s">
        <v>83</v>
      </c>
      <c r="S921">
        <v>0.14940844</v>
      </c>
      <c r="T921" t="s">
        <v>157</v>
      </c>
      <c r="U921">
        <v>0.12009188</v>
      </c>
      <c r="V921" t="s">
        <v>389</v>
      </c>
      <c r="W921">
        <v>0.10683027</v>
      </c>
    </row>
    <row r="922" spans="1:23" x14ac:dyDescent="0.25">
      <c r="A922" s="3" t="str">
        <f>HYPERLINK("http://ids.si.edu/ids/deliveryService?id=NMAH-AHB2014q054969","NMAH-AHB2014q054969")</f>
        <v>NMAH-AHB2014q054969</v>
      </c>
      <c r="B922" s="3" t="s">
        <v>2306</v>
      </c>
      <c r="C922" s="3">
        <v>309666</v>
      </c>
      <c r="D922" s="3" t="s">
        <v>797</v>
      </c>
      <c r="E922" s="4" t="s">
        <v>146</v>
      </c>
      <c r="F922" t="s">
        <v>147</v>
      </c>
      <c r="G922">
        <v>0.97348934412002563</v>
      </c>
      <c r="H922" t="s">
        <v>603</v>
      </c>
      <c r="I922">
        <v>0.92855781316757202</v>
      </c>
      <c r="J922" t="s">
        <v>1273</v>
      </c>
      <c r="K922" s="4">
        <v>0.66593641042709351</v>
      </c>
      <c r="L922" t="s">
        <v>673</v>
      </c>
      <c r="M922">
        <v>0.25571534000000001</v>
      </c>
      <c r="N922" t="s">
        <v>184</v>
      </c>
      <c r="O922">
        <v>0.20001828999999999</v>
      </c>
      <c r="P922" t="s">
        <v>529</v>
      </c>
      <c r="Q922" s="4">
        <v>8.3034049999999998E-2</v>
      </c>
      <c r="R922" t="s">
        <v>601</v>
      </c>
      <c r="S922">
        <v>0.27047268000000002</v>
      </c>
      <c r="T922" t="s">
        <v>460</v>
      </c>
      <c r="U922">
        <v>0.25504062</v>
      </c>
      <c r="V922" t="s">
        <v>149</v>
      </c>
      <c r="W922">
        <v>0.11405752</v>
      </c>
    </row>
    <row r="923" spans="1:23" x14ac:dyDescent="0.25">
      <c r="A923" s="3" t="str">
        <f>HYPERLINK("http://ids.si.edu/ids/deliveryService?id=NMAH-AHB2013q092140","NMAH-AHB2013q092140")</f>
        <v>NMAH-AHB2013q092140</v>
      </c>
      <c r="B923" s="3" t="s">
        <v>2307</v>
      </c>
      <c r="C923" s="3">
        <v>323961</v>
      </c>
      <c r="D923" s="3" t="s">
        <v>797</v>
      </c>
      <c r="E923" s="4" t="s">
        <v>881</v>
      </c>
      <c r="F923" t="s">
        <v>323</v>
      </c>
      <c r="G923">
        <v>0.75871890783309937</v>
      </c>
      <c r="H923" t="s">
        <v>1078</v>
      </c>
      <c r="I923">
        <v>0.63079309463500977</v>
      </c>
      <c r="J923" t="s">
        <v>328</v>
      </c>
      <c r="K923" s="4">
        <v>0.58437067270278931</v>
      </c>
      <c r="L923" t="s">
        <v>83</v>
      </c>
      <c r="M923">
        <v>0.72761640000000005</v>
      </c>
      <c r="N923" t="s">
        <v>52</v>
      </c>
      <c r="O923">
        <v>0.14035295</v>
      </c>
      <c r="P923" t="s">
        <v>879</v>
      </c>
      <c r="Q923" s="4">
        <v>3.1360491999999997E-2</v>
      </c>
      <c r="R923" t="s">
        <v>389</v>
      </c>
      <c r="S923">
        <v>0.39718147999999998</v>
      </c>
      <c r="T923" t="s">
        <v>83</v>
      </c>
      <c r="U923">
        <v>0.14994341</v>
      </c>
      <c r="V923" t="s">
        <v>53</v>
      </c>
      <c r="W923">
        <v>0.14069672999999999</v>
      </c>
    </row>
    <row r="924" spans="1:23" x14ac:dyDescent="0.25">
      <c r="A924" s="3" t="str">
        <f>HYPERLINK("http://ids.si.edu/ids/deliveryService?id=NMAH-AHB2014q060246","NMAH-AHB2014q060246")</f>
        <v>NMAH-AHB2014q060246</v>
      </c>
      <c r="B924" s="3" t="s">
        <v>2308</v>
      </c>
      <c r="C924" s="3">
        <v>300706</v>
      </c>
      <c r="D924" s="3" t="s">
        <v>797</v>
      </c>
      <c r="E924" s="4" t="s">
        <v>853</v>
      </c>
      <c r="F924" t="s">
        <v>854</v>
      </c>
      <c r="G924">
        <v>0.87824302911758423</v>
      </c>
      <c r="H924" t="s">
        <v>809</v>
      </c>
      <c r="I924">
        <v>0.84899771213531494</v>
      </c>
      <c r="J924" t="s">
        <v>50</v>
      </c>
      <c r="K924" s="4">
        <v>0.84106016159057617</v>
      </c>
      <c r="L924" t="s">
        <v>857</v>
      </c>
      <c r="M924">
        <v>0.49326619999999999</v>
      </c>
      <c r="N924" t="s">
        <v>853</v>
      </c>
      <c r="O924">
        <v>0.1905316</v>
      </c>
      <c r="P924" t="s">
        <v>30</v>
      </c>
      <c r="Q924" s="4">
        <v>0.14773253</v>
      </c>
      <c r="R924" t="s">
        <v>853</v>
      </c>
      <c r="S924">
        <v>0.45462838</v>
      </c>
      <c r="T924" t="s">
        <v>857</v>
      </c>
      <c r="U924">
        <v>0.34235199999999999</v>
      </c>
      <c r="V924" t="s">
        <v>30</v>
      </c>
      <c r="W924">
        <v>7.046416400000001E-2</v>
      </c>
    </row>
    <row r="925" spans="1:23" x14ac:dyDescent="0.25">
      <c r="A925" s="3" t="str">
        <f>HYPERLINK("http://ids.si.edu/ids/deliveryService?id=NMAH-AHB2013q089692","NMAH-AHB2013q089692")</f>
        <v>NMAH-AHB2013q089692</v>
      </c>
      <c r="B925" s="3" t="s">
        <v>2309</v>
      </c>
      <c r="C925" s="3">
        <v>321203</v>
      </c>
      <c r="D925" s="3" t="s">
        <v>797</v>
      </c>
      <c r="E925" s="4" t="s">
        <v>322</v>
      </c>
      <c r="F925" t="s">
        <v>1078</v>
      </c>
      <c r="G925">
        <v>0.72806364297866821</v>
      </c>
      <c r="H925" t="s">
        <v>328</v>
      </c>
      <c r="I925">
        <v>0.60321927070617676</v>
      </c>
      <c r="J925" t="s">
        <v>1104</v>
      </c>
      <c r="K925" s="4">
        <v>0.57452619075775146</v>
      </c>
      <c r="L925" t="s">
        <v>83</v>
      </c>
      <c r="M925">
        <v>0.82144284000000001</v>
      </c>
      <c r="N925" t="s">
        <v>52</v>
      </c>
      <c r="O925">
        <v>3.4797950000000001E-2</v>
      </c>
      <c r="P925" t="s">
        <v>185</v>
      </c>
      <c r="Q925" s="4">
        <v>3.2433620000000003E-2</v>
      </c>
      <c r="R925" t="s">
        <v>83</v>
      </c>
      <c r="S925">
        <v>0.27819695999999999</v>
      </c>
      <c r="T925" t="s">
        <v>389</v>
      </c>
      <c r="U925">
        <v>0.20041196</v>
      </c>
      <c r="V925" t="s">
        <v>53</v>
      </c>
      <c r="W925">
        <v>8.4682720000000003E-2</v>
      </c>
    </row>
    <row r="926" spans="1:23" x14ac:dyDescent="0.25">
      <c r="A926" s="3" t="str">
        <f>HYPERLINK("http://ids.si.edu/ids/deliveryService?id=NMAH-ET2013-39176","NMAH-ET2013-39176")</f>
        <v>NMAH-ET2013-39176</v>
      </c>
      <c r="B926" s="3" t="s">
        <v>2310</v>
      </c>
      <c r="C926" s="3">
        <v>325893</v>
      </c>
      <c r="D926" s="3" t="s">
        <v>797</v>
      </c>
      <c r="E926" s="4" t="s">
        <v>2311</v>
      </c>
      <c r="F926" t="s">
        <v>60</v>
      </c>
      <c r="G926">
        <v>0.9675864577293396</v>
      </c>
      <c r="H926" t="s">
        <v>2312</v>
      </c>
      <c r="I926">
        <v>0.8777039647102356</v>
      </c>
      <c r="J926" t="s">
        <v>61</v>
      </c>
      <c r="K926" s="4">
        <v>0.85248786211013794</v>
      </c>
      <c r="L926" t="s">
        <v>65</v>
      </c>
      <c r="M926">
        <v>0.43160364000000001</v>
      </c>
      <c r="N926" t="s">
        <v>29</v>
      </c>
      <c r="O926">
        <v>0.35693234000000001</v>
      </c>
      <c r="P926" t="s">
        <v>66</v>
      </c>
      <c r="Q926" s="4">
        <v>2.1403076E-2</v>
      </c>
      <c r="R926" t="s">
        <v>29</v>
      </c>
      <c r="S926">
        <v>0.85819219999999985</v>
      </c>
      <c r="T926" t="s">
        <v>65</v>
      </c>
      <c r="U926">
        <v>8.5962600000000014E-2</v>
      </c>
      <c r="V926" t="s">
        <v>67</v>
      </c>
      <c r="W926">
        <v>5.5651330000000008E-3</v>
      </c>
    </row>
    <row r="927" spans="1:23" x14ac:dyDescent="0.25">
      <c r="A927" s="3" t="str">
        <f>HYPERLINK("http://ids.si.edu/ids/deliveryService?id=NMAH-AHB2014q060494","NMAH-AHB2014q060494")</f>
        <v>NMAH-AHB2014q060494</v>
      </c>
      <c r="B927" s="3" t="s">
        <v>2313</v>
      </c>
      <c r="C927" s="3">
        <v>300957</v>
      </c>
      <c r="D927" s="3" t="s">
        <v>797</v>
      </c>
      <c r="E927" s="4" t="s">
        <v>86</v>
      </c>
      <c r="F927" t="s">
        <v>856</v>
      </c>
      <c r="G927">
        <v>0.91697210073471069</v>
      </c>
      <c r="H927" t="s">
        <v>917</v>
      </c>
      <c r="I927">
        <v>0.76859945058822632</v>
      </c>
      <c r="J927" t="s">
        <v>50</v>
      </c>
      <c r="K927" s="4">
        <v>0.76671713590621948</v>
      </c>
      <c r="L927" t="s">
        <v>853</v>
      </c>
      <c r="M927">
        <v>0.22253877</v>
      </c>
      <c r="N927" t="s">
        <v>365</v>
      </c>
      <c r="O927">
        <v>0.12684582</v>
      </c>
      <c r="P927" t="s">
        <v>821</v>
      </c>
      <c r="Q927" s="4">
        <v>0.12382391</v>
      </c>
      <c r="R927" t="s">
        <v>78</v>
      </c>
      <c r="S927">
        <v>0.27577403</v>
      </c>
      <c r="T927" t="s">
        <v>364</v>
      </c>
      <c r="U927">
        <v>0.1478197</v>
      </c>
      <c r="V927" t="s">
        <v>95</v>
      </c>
      <c r="W927">
        <v>6.3591830000000002E-2</v>
      </c>
    </row>
    <row r="928" spans="1:23" x14ac:dyDescent="0.25">
      <c r="A928" s="3" t="str">
        <f>HYPERLINK("http://ids.si.edu/ids/deliveryService?id=NMAH-2011-04535","NMAH-2011-04535")</f>
        <v>NMAH-2011-04535</v>
      </c>
      <c r="B928" s="3" t="s">
        <v>2314</v>
      </c>
      <c r="C928" s="3">
        <v>325911</v>
      </c>
      <c r="D928" s="3" t="s">
        <v>797</v>
      </c>
      <c r="E928" s="4" t="s">
        <v>803</v>
      </c>
      <c r="F928" t="s">
        <v>264</v>
      </c>
      <c r="G928">
        <v>0.83276057243347168</v>
      </c>
      <c r="H928" t="s">
        <v>62</v>
      </c>
      <c r="I928">
        <v>0.69465303421020508</v>
      </c>
      <c r="J928" t="s">
        <v>2315</v>
      </c>
      <c r="K928" s="4">
        <v>0.66144710779190063</v>
      </c>
      <c r="L928" t="s">
        <v>65</v>
      </c>
      <c r="M928">
        <v>0.80733830000000006</v>
      </c>
      <c r="N928" t="s">
        <v>183</v>
      </c>
      <c r="O928">
        <v>1.6372894999999998E-2</v>
      </c>
      <c r="P928" t="s">
        <v>277</v>
      </c>
      <c r="Q928" s="4">
        <v>1.3311259000000001E-2</v>
      </c>
      <c r="R928" t="s">
        <v>65</v>
      </c>
      <c r="S928">
        <v>0.42346358000000001</v>
      </c>
      <c r="T928" t="s">
        <v>379</v>
      </c>
      <c r="U928">
        <v>0.17803701999999999</v>
      </c>
      <c r="V928" t="s">
        <v>2316</v>
      </c>
      <c r="W928">
        <v>7.467174E-2</v>
      </c>
    </row>
    <row r="929" spans="1:23" x14ac:dyDescent="0.25">
      <c r="A929" s="3" t="str">
        <f>HYPERLINK("http://ids.si.edu/ids/deliveryService?id=NMAH-AHB2014q102270","NMAH-AHB2014q102270")</f>
        <v>NMAH-AHB2014q102270</v>
      </c>
      <c r="B929" s="3" t="s">
        <v>2317</v>
      </c>
      <c r="C929" s="3">
        <v>571824</v>
      </c>
      <c r="D929" s="3" t="s">
        <v>797</v>
      </c>
      <c r="E929" s="4" t="s">
        <v>1032</v>
      </c>
      <c r="F929" t="s">
        <v>832</v>
      </c>
      <c r="G929">
        <v>0.98441445827484131</v>
      </c>
      <c r="H929" t="s">
        <v>799</v>
      </c>
      <c r="I929">
        <v>0.96671497821807861</v>
      </c>
      <c r="J929" t="s">
        <v>896</v>
      </c>
      <c r="K929" s="4">
        <v>0.94909542798995972</v>
      </c>
      <c r="L929" t="s">
        <v>86</v>
      </c>
      <c r="M929">
        <v>0.25412511999999998</v>
      </c>
      <c r="N929" t="s">
        <v>848</v>
      </c>
      <c r="O929">
        <v>0.16411039999999999</v>
      </c>
      <c r="P929" t="s">
        <v>213</v>
      </c>
      <c r="Q929" s="4">
        <v>0.14664677000000001</v>
      </c>
      <c r="R929" t="s">
        <v>86</v>
      </c>
      <c r="S929">
        <v>0.35039442999999998</v>
      </c>
      <c r="T929" t="s">
        <v>848</v>
      </c>
      <c r="U929">
        <v>0.20385417</v>
      </c>
      <c r="V929" t="s">
        <v>1168</v>
      </c>
      <c r="W929">
        <v>5.7561214999999999E-2</v>
      </c>
    </row>
    <row r="930" spans="1:23" x14ac:dyDescent="0.25">
      <c r="A930" s="3" t="str">
        <f>HYPERLINK("http://ids.si.edu/ids/deliveryService?id=NMAH-TA2012-0208","NMAH-TA2012-0208")</f>
        <v>NMAH-TA2012-0208</v>
      </c>
      <c r="B930" s="3" t="s">
        <v>2318</v>
      </c>
      <c r="C930" s="3">
        <v>1005330</v>
      </c>
      <c r="D930" s="3" t="s">
        <v>797</v>
      </c>
      <c r="E930" s="4" t="s">
        <v>2319</v>
      </c>
      <c r="F930" t="s">
        <v>61</v>
      </c>
      <c r="G930">
        <v>0.95705872774124146</v>
      </c>
      <c r="H930" t="s">
        <v>112</v>
      </c>
      <c r="I930">
        <v>0.94237315654754639</v>
      </c>
      <c r="J930" t="s">
        <v>1586</v>
      </c>
      <c r="K930" s="4">
        <v>0.72621762752532959</v>
      </c>
      <c r="L930" t="s">
        <v>2320</v>
      </c>
      <c r="M930">
        <v>0.23426174999999999</v>
      </c>
      <c r="N930" t="s">
        <v>65</v>
      </c>
      <c r="O930">
        <v>9.1058164999999996E-2</v>
      </c>
      <c r="P930" t="s">
        <v>772</v>
      </c>
      <c r="Q930" s="4">
        <v>7.3230790000000004E-2</v>
      </c>
      <c r="R930" t="s">
        <v>2320</v>
      </c>
      <c r="S930">
        <v>0.64583419999999991</v>
      </c>
      <c r="T930" t="s">
        <v>772</v>
      </c>
      <c r="U930">
        <v>2.863779E-2</v>
      </c>
      <c r="V930" t="s">
        <v>148</v>
      </c>
      <c r="W930">
        <v>2.4301400000000001E-2</v>
      </c>
    </row>
    <row r="931" spans="1:23" x14ac:dyDescent="0.25">
      <c r="A931" s="3" t="str">
        <f>HYPERLINK("http://ids.si.edu/ids/deliveryService?id=NMAH-AHB2015q001046-000001","NMAH-AHB2015q001046-000001")</f>
        <v>NMAH-AHB2015q001046-000001</v>
      </c>
      <c r="B931" s="3" t="s">
        <v>2321</v>
      </c>
      <c r="C931" s="3">
        <v>623473</v>
      </c>
      <c r="D931" s="3" t="s">
        <v>797</v>
      </c>
      <c r="E931" s="4" t="s">
        <v>2322</v>
      </c>
      <c r="F931" t="s">
        <v>2323</v>
      </c>
      <c r="G931">
        <v>0.810080885887146</v>
      </c>
      <c r="H931" t="s">
        <v>361</v>
      </c>
      <c r="I931">
        <v>0.7393338680267334</v>
      </c>
      <c r="J931" t="s">
        <v>272</v>
      </c>
      <c r="K931" s="4">
        <v>0.73659127950668335</v>
      </c>
      <c r="L931" t="s">
        <v>2324</v>
      </c>
      <c r="M931">
        <v>0.18943760000000001</v>
      </c>
      <c r="N931" t="s">
        <v>2325</v>
      </c>
      <c r="O931">
        <v>0.11195594</v>
      </c>
      <c r="P931" t="s">
        <v>1639</v>
      </c>
      <c r="Q931" s="4">
        <v>6.6447030000000004E-2</v>
      </c>
      <c r="R931" t="s">
        <v>1599</v>
      </c>
      <c r="S931">
        <v>0.44543635999999998</v>
      </c>
      <c r="T931" t="s">
        <v>962</v>
      </c>
      <c r="U931">
        <v>0.18825739999999999</v>
      </c>
      <c r="V931" t="s">
        <v>620</v>
      </c>
      <c r="W931">
        <v>2.5390137E-2</v>
      </c>
    </row>
    <row r="932" spans="1:23" x14ac:dyDescent="0.25">
      <c r="A932" s="3" t="str">
        <f>HYPERLINK("http://ids.si.edu/ids/deliveryService?id=NMAH-AHB2013q080325","NMAH-AHB2013q080325")</f>
        <v>NMAH-AHB2013q080325</v>
      </c>
      <c r="B932" s="3" t="s">
        <v>2326</v>
      </c>
      <c r="C932" s="3">
        <v>1445746</v>
      </c>
      <c r="D932" s="3" t="s">
        <v>797</v>
      </c>
      <c r="E932" s="4" t="s">
        <v>850</v>
      </c>
      <c r="F932" t="s">
        <v>851</v>
      </c>
      <c r="G932">
        <v>0.96463698148727417</v>
      </c>
      <c r="H932" t="s">
        <v>816</v>
      </c>
      <c r="I932">
        <v>0.92541241645812988</v>
      </c>
      <c r="J932" t="s">
        <v>91</v>
      </c>
      <c r="K932" s="4">
        <v>0.88283330202102661</v>
      </c>
      <c r="L932" t="s">
        <v>498</v>
      </c>
      <c r="M932">
        <v>0.41604012000000001</v>
      </c>
      <c r="N932" t="s">
        <v>83</v>
      </c>
      <c r="O932">
        <v>0.36306529999999998</v>
      </c>
      <c r="P932" t="s">
        <v>703</v>
      </c>
      <c r="Q932" s="4">
        <v>7.3711960000000007E-2</v>
      </c>
      <c r="R932" t="s">
        <v>83</v>
      </c>
      <c r="S932">
        <v>0.50693845999999998</v>
      </c>
      <c r="T932" t="s">
        <v>157</v>
      </c>
      <c r="U932">
        <v>0.11138913</v>
      </c>
      <c r="V932" t="s">
        <v>159</v>
      </c>
      <c r="W932">
        <v>6.9695494999999996E-2</v>
      </c>
    </row>
    <row r="933" spans="1:23" x14ac:dyDescent="0.25">
      <c r="A933" s="3" t="str">
        <f>HYPERLINK("http://ids.si.edu/ids/deliveryService?id=NMAH-AHB2016q056197","NMAH-AHB2016q056197")</f>
        <v>NMAH-AHB2016q056197</v>
      </c>
      <c r="B933" s="3" t="s">
        <v>2327</v>
      </c>
      <c r="C933" s="3">
        <v>573924</v>
      </c>
      <c r="D933" s="3" t="s">
        <v>797</v>
      </c>
      <c r="E933" s="4" t="s">
        <v>952</v>
      </c>
      <c r="F933" t="s">
        <v>953</v>
      </c>
      <c r="G933">
        <v>0.8682485818862915</v>
      </c>
      <c r="H933" t="s">
        <v>846</v>
      </c>
      <c r="I933">
        <v>0.81782889366149902</v>
      </c>
      <c r="J933" t="s">
        <v>837</v>
      </c>
      <c r="K933" s="4">
        <v>0.75982117652893066</v>
      </c>
      <c r="L933" t="s">
        <v>923</v>
      </c>
      <c r="M933">
        <v>0.61890059999999991</v>
      </c>
      <c r="N933" t="s">
        <v>464</v>
      </c>
      <c r="O933">
        <v>0.28996336</v>
      </c>
      <c r="P933" t="s">
        <v>821</v>
      </c>
      <c r="Q933" s="4">
        <v>7.1287249999999996E-2</v>
      </c>
      <c r="R933" t="s">
        <v>923</v>
      </c>
      <c r="S933">
        <v>0.98246520000000004</v>
      </c>
      <c r="T933" t="s">
        <v>821</v>
      </c>
      <c r="U933">
        <v>5.3386830000000003E-3</v>
      </c>
      <c r="V933" t="s">
        <v>464</v>
      </c>
      <c r="W933">
        <v>3.9645280000000001E-3</v>
      </c>
    </row>
    <row r="934" spans="1:23" x14ac:dyDescent="0.25">
      <c r="A934" s="3" t="str">
        <f>HYPERLINK("http://ids.si.edu/ids/deliveryService?id=NMAH-AHB2013q098061","NMAH-AHB2013q098061")</f>
        <v>NMAH-AHB2013q098061</v>
      </c>
      <c r="B934" s="3" t="s">
        <v>2328</v>
      </c>
      <c r="C934" s="3">
        <v>1452438</v>
      </c>
      <c r="D934" s="3" t="s">
        <v>797</v>
      </c>
      <c r="E934" s="4" t="s">
        <v>842</v>
      </c>
      <c r="F934" t="s">
        <v>1461</v>
      </c>
      <c r="G934">
        <v>0.94644695520401001</v>
      </c>
      <c r="H934" t="s">
        <v>1462</v>
      </c>
      <c r="I934">
        <v>0.90245985984802246</v>
      </c>
      <c r="J934" t="s">
        <v>61</v>
      </c>
      <c r="K934" s="4">
        <v>0.85248786211013794</v>
      </c>
      <c r="L934" t="s">
        <v>369</v>
      </c>
      <c r="M934">
        <v>0.40735729999999998</v>
      </c>
      <c r="N934" t="s">
        <v>66</v>
      </c>
      <c r="O934">
        <v>0.26862350000000002</v>
      </c>
      <c r="P934" t="s">
        <v>141</v>
      </c>
      <c r="Q934" s="4">
        <v>3.2189570000000001E-2</v>
      </c>
      <c r="R934" t="s">
        <v>66</v>
      </c>
      <c r="S934">
        <v>0.57729125000000003</v>
      </c>
      <c r="T934" t="s">
        <v>369</v>
      </c>
      <c r="U934">
        <v>5.5254537999999999E-2</v>
      </c>
      <c r="V934" t="s">
        <v>813</v>
      </c>
      <c r="W934">
        <v>4.0254194E-2</v>
      </c>
    </row>
    <row r="935" spans="1:23" x14ac:dyDescent="0.25">
      <c r="A935" s="3" t="str">
        <f>HYPERLINK("http://ids.si.edu/ids/deliveryService?id=NMAH-AHB2014q055047","NMAH-AHB2014q055047")</f>
        <v>NMAH-AHB2014q055047</v>
      </c>
      <c r="B935" s="3" t="s">
        <v>2329</v>
      </c>
      <c r="C935" s="3">
        <v>309723</v>
      </c>
      <c r="D935" s="3" t="s">
        <v>797</v>
      </c>
      <c r="E935" s="4" t="s">
        <v>2330</v>
      </c>
      <c r="F935" t="s">
        <v>91</v>
      </c>
      <c r="G935">
        <v>0.92529410123825073</v>
      </c>
      <c r="H935" t="s">
        <v>50</v>
      </c>
      <c r="I935">
        <v>0.5114516019821167</v>
      </c>
      <c r="L935" t="s">
        <v>673</v>
      </c>
      <c r="M935">
        <v>0.22259091</v>
      </c>
      <c r="N935" t="s">
        <v>93</v>
      </c>
      <c r="O935">
        <v>0.17521518</v>
      </c>
      <c r="P935" t="s">
        <v>1907</v>
      </c>
      <c r="Q935" s="4">
        <v>0.16587331999999999</v>
      </c>
      <c r="R935" t="s">
        <v>673</v>
      </c>
      <c r="S935">
        <v>0.41101854999999998</v>
      </c>
      <c r="T935" t="s">
        <v>258</v>
      </c>
      <c r="U935">
        <v>0.19100561999999999</v>
      </c>
      <c r="V935" t="s">
        <v>93</v>
      </c>
      <c r="W935">
        <v>0.10470877000000001</v>
      </c>
    </row>
    <row r="936" spans="1:23" x14ac:dyDescent="0.25">
      <c r="A936" s="3" t="str">
        <f>HYPERLINK("http://ids.si.edu/ids/deliveryService?id=NMAH-AHB2013q094281","NMAH-AHB2013q094281")</f>
        <v>NMAH-AHB2013q094281</v>
      </c>
      <c r="B936" s="3" t="s">
        <v>2331</v>
      </c>
      <c r="C936" s="3">
        <v>315122</v>
      </c>
      <c r="D936" s="3" t="s">
        <v>797</v>
      </c>
      <c r="E936" s="4" t="s">
        <v>925</v>
      </c>
      <c r="F936" t="s">
        <v>91</v>
      </c>
      <c r="G936">
        <v>0.88283330202102661</v>
      </c>
      <c r="L936" t="s">
        <v>245</v>
      </c>
      <c r="M936">
        <v>0.20023985</v>
      </c>
      <c r="N936" t="s">
        <v>78</v>
      </c>
      <c r="O936">
        <v>8.941284599999999E-2</v>
      </c>
      <c r="P936" t="s">
        <v>141</v>
      </c>
      <c r="Q936" s="4">
        <v>7.9350089999999998E-2</v>
      </c>
      <c r="R936" t="s">
        <v>53</v>
      </c>
      <c r="S936">
        <v>0.50270200000000009</v>
      </c>
      <c r="T936" t="s">
        <v>87</v>
      </c>
      <c r="U936">
        <v>0.12652343999999999</v>
      </c>
      <c r="V936" t="s">
        <v>83</v>
      </c>
      <c r="W936">
        <v>5.7175669999999998E-2</v>
      </c>
    </row>
    <row r="937" spans="1:23" x14ac:dyDescent="0.25">
      <c r="A937" s="3" t="str">
        <f>HYPERLINK("http://ids.si.edu/ids/deliveryService?id=NMAH-AHB2014q066731","NMAH-AHB2014q066731")</f>
        <v>NMAH-AHB2014q066731</v>
      </c>
      <c r="B937" s="3" t="s">
        <v>2332</v>
      </c>
      <c r="C937" s="3">
        <v>316266</v>
      </c>
      <c r="D937" s="3" t="s">
        <v>797</v>
      </c>
      <c r="E937" s="4" t="s">
        <v>740</v>
      </c>
      <c r="F937" t="s">
        <v>256</v>
      </c>
      <c r="G937">
        <v>0.69171404838562012</v>
      </c>
      <c r="H937" t="s">
        <v>220</v>
      </c>
      <c r="I937">
        <v>0.59234714508056641</v>
      </c>
      <c r="J937" t="s">
        <v>236</v>
      </c>
      <c r="K937" s="4">
        <v>0.54227489233016968</v>
      </c>
      <c r="L937" t="s">
        <v>184</v>
      </c>
      <c r="M937">
        <v>0.31026343000000001</v>
      </c>
      <c r="N937" t="s">
        <v>209</v>
      </c>
      <c r="O937">
        <v>0.19542762999999999</v>
      </c>
      <c r="P937" t="s">
        <v>65</v>
      </c>
      <c r="Q937" s="4">
        <v>4.9054651999999997E-2</v>
      </c>
      <c r="R937" t="s">
        <v>209</v>
      </c>
      <c r="S937">
        <v>0.5494505999999999</v>
      </c>
      <c r="T937" t="s">
        <v>184</v>
      </c>
      <c r="U937">
        <v>9.1017774999999995E-2</v>
      </c>
      <c r="V937" t="s">
        <v>65</v>
      </c>
      <c r="W937">
        <v>3.7251397999999998E-2</v>
      </c>
    </row>
    <row r="938" spans="1:23" x14ac:dyDescent="0.25">
      <c r="A938" s="3" t="str">
        <f>HYPERLINK("http://ids.si.edu/ids/deliveryService?id=NMAH-AHB2013q090018","NMAH-AHB2013q090018")</f>
        <v>NMAH-AHB2013q090018</v>
      </c>
      <c r="B938" s="3" t="s">
        <v>2333</v>
      </c>
      <c r="C938" s="3">
        <v>1062046</v>
      </c>
      <c r="D938" s="3" t="s">
        <v>797</v>
      </c>
      <c r="E938" s="4" t="s">
        <v>322</v>
      </c>
      <c r="F938" t="s">
        <v>323</v>
      </c>
      <c r="G938">
        <v>0.91884779930114746</v>
      </c>
      <c r="H938" t="s">
        <v>2334</v>
      </c>
      <c r="I938">
        <v>0.88674283027648926</v>
      </c>
      <c r="J938" t="s">
        <v>816</v>
      </c>
      <c r="K938" s="4">
        <v>0.86856311559677124</v>
      </c>
      <c r="L938" t="s">
        <v>83</v>
      </c>
      <c r="M938">
        <v>0.95284455999999995</v>
      </c>
      <c r="N938" t="s">
        <v>52</v>
      </c>
      <c r="O938">
        <v>9.1038280000000013E-3</v>
      </c>
      <c r="P938" t="s">
        <v>559</v>
      </c>
      <c r="Q938" s="4">
        <v>8.6723400000000006E-3</v>
      </c>
      <c r="R938" t="s">
        <v>83</v>
      </c>
      <c r="S938">
        <v>0.37090862000000002</v>
      </c>
      <c r="T938" t="s">
        <v>495</v>
      </c>
      <c r="U938">
        <v>0.124263234</v>
      </c>
      <c r="V938" t="s">
        <v>151</v>
      </c>
      <c r="W938">
        <v>8.9917109999999995E-2</v>
      </c>
    </row>
    <row r="939" spans="1:23" x14ac:dyDescent="0.25">
      <c r="A939" s="3" t="str">
        <f>HYPERLINK("http://ids.si.edu/ids/deliveryService?id=NMAH-AHB2014q059631-000002","NMAH-AHB2014q059631-000002")</f>
        <v>NMAH-AHB2014q059631-000002</v>
      </c>
      <c r="B939" s="3" t="s">
        <v>2335</v>
      </c>
      <c r="C939" s="3">
        <v>315368</v>
      </c>
      <c r="D939" s="3" t="s">
        <v>797</v>
      </c>
      <c r="E939" s="4" t="s">
        <v>322</v>
      </c>
      <c r="F939" t="s">
        <v>1015</v>
      </c>
      <c r="G939">
        <v>0.53882253170013428</v>
      </c>
      <c r="H939" t="s">
        <v>323</v>
      </c>
      <c r="I939">
        <v>0.53723824024200439</v>
      </c>
      <c r="J939" t="s">
        <v>324</v>
      </c>
      <c r="K939" s="4">
        <v>0.50732731819152832</v>
      </c>
      <c r="L939" t="s">
        <v>175</v>
      </c>
      <c r="M939">
        <v>0.39449035999999998</v>
      </c>
      <c r="N939" t="s">
        <v>83</v>
      </c>
      <c r="O939">
        <v>0.29250237000000001</v>
      </c>
      <c r="P939" t="s">
        <v>35</v>
      </c>
      <c r="Q939" s="4">
        <v>4.5859039999999997E-2</v>
      </c>
      <c r="R939" t="s">
        <v>83</v>
      </c>
      <c r="S939">
        <v>0.35729297999999998</v>
      </c>
      <c r="T939" t="s">
        <v>157</v>
      </c>
      <c r="U939">
        <v>0.16572843000000001</v>
      </c>
      <c r="V939" t="s">
        <v>175</v>
      </c>
      <c r="W939">
        <v>0.15985348999999999</v>
      </c>
    </row>
    <row r="940" spans="1:23" x14ac:dyDescent="0.25">
      <c r="A940" s="3" t="str">
        <f>HYPERLINK("http://ids.si.edu/ids/deliveryService?id=NMAH-AHB2013q081655","NMAH-AHB2013q081655")</f>
        <v>NMAH-AHB2013q081655</v>
      </c>
      <c r="B940" s="3" t="s">
        <v>2336</v>
      </c>
      <c r="C940" s="3">
        <v>302066</v>
      </c>
      <c r="D940" s="3" t="s">
        <v>797</v>
      </c>
      <c r="E940" s="4" t="s">
        <v>850</v>
      </c>
      <c r="F940" t="s">
        <v>851</v>
      </c>
      <c r="G940">
        <v>0.96748065948486328</v>
      </c>
      <c r="H940" t="s">
        <v>816</v>
      </c>
      <c r="I940">
        <v>0.94735413789749146</v>
      </c>
      <c r="J940" t="s">
        <v>91</v>
      </c>
      <c r="K940" s="4">
        <v>0.91031128168106079</v>
      </c>
      <c r="L940" t="s">
        <v>498</v>
      </c>
      <c r="M940">
        <v>0.33370023999999998</v>
      </c>
      <c r="N940" t="s">
        <v>83</v>
      </c>
      <c r="O940">
        <v>0.19880200000000001</v>
      </c>
      <c r="P940" t="s">
        <v>1093</v>
      </c>
      <c r="Q940" s="4">
        <v>5.2323250000000002E-2</v>
      </c>
      <c r="R940" t="s">
        <v>83</v>
      </c>
      <c r="S940">
        <v>0.32032191999999998</v>
      </c>
      <c r="T940" t="s">
        <v>157</v>
      </c>
      <c r="U940">
        <v>0.14074601</v>
      </c>
      <c r="V940" t="s">
        <v>175</v>
      </c>
      <c r="W940">
        <v>0.1313532</v>
      </c>
    </row>
    <row r="941" spans="1:23" x14ac:dyDescent="0.25">
      <c r="A941" s="3" t="str">
        <f>HYPERLINK("http://ids.si.edu/ids/deliveryService?id=NMAH-JN2012-0708","NMAH-JN2012-0708")</f>
        <v>NMAH-JN2012-0708</v>
      </c>
      <c r="B941" s="3" t="s">
        <v>2337</v>
      </c>
      <c r="C941" s="3">
        <v>1001137</v>
      </c>
      <c r="D941" s="3" t="s">
        <v>797</v>
      </c>
      <c r="E941" s="4" t="s">
        <v>1588</v>
      </c>
      <c r="F941" t="s">
        <v>856</v>
      </c>
      <c r="G941">
        <v>0.98663926124572754</v>
      </c>
      <c r="H941" t="s">
        <v>2057</v>
      </c>
      <c r="I941">
        <v>0.96484196186065674</v>
      </c>
      <c r="J941" t="s">
        <v>292</v>
      </c>
      <c r="K941" s="4">
        <v>0.96130752563476563</v>
      </c>
      <c r="L941" t="s">
        <v>857</v>
      </c>
      <c r="M941">
        <v>0.72469440000000007</v>
      </c>
      <c r="N941" t="s">
        <v>821</v>
      </c>
      <c r="O941">
        <v>0.12131516000000001</v>
      </c>
      <c r="P941" t="s">
        <v>1981</v>
      </c>
      <c r="Q941" s="4">
        <v>5.7494517000000002E-2</v>
      </c>
      <c r="R941" t="s">
        <v>1981</v>
      </c>
      <c r="S941">
        <v>0.71737359999999994</v>
      </c>
      <c r="T941" t="s">
        <v>857</v>
      </c>
      <c r="U941">
        <v>0.15418873999999999</v>
      </c>
      <c r="V941" t="s">
        <v>821</v>
      </c>
      <c r="W941">
        <v>2.9783605000000001E-2</v>
      </c>
    </row>
    <row r="942" spans="1:23" x14ac:dyDescent="0.25">
      <c r="A942" s="3" t="str">
        <f>HYPERLINK("http://ids.si.edu/ids/deliveryService?id=NMAH-AHB2013q091897","NMAH-AHB2013q091897")</f>
        <v>NMAH-AHB2013q091897</v>
      </c>
      <c r="B942" s="3" t="s">
        <v>2338</v>
      </c>
      <c r="C942" s="3">
        <v>323853</v>
      </c>
      <c r="D942" s="3" t="s">
        <v>797</v>
      </c>
      <c r="E942" s="4" t="s">
        <v>1076</v>
      </c>
      <c r="F942" t="s">
        <v>328</v>
      </c>
      <c r="G942">
        <v>0.57750999927520752</v>
      </c>
      <c r="L942" t="s">
        <v>83</v>
      </c>
      <c r="M942">
        <v>0.15841991999999999</v>
      </c>
      <c r="N942" t="s">
        <v>84</v>
      </c>
      <c r="O942">
        <v>0.12457525999999999</v>
      </c>
      <c r="P942" t="s">
        <v>172</v>
      </c>
      <c r="Q942" s="4">
        <v>6.9639450000000006E-2</v>
      </c>
      <c r="R942" t="s">
        <v>151</v>
      </c>
      <c r="S942">
        <v>0.102651305</v>
      </c>
      <c r="T942" t="s">
        <v>260</v>
      </c>
      <c r="U942">
        <v>9.9144443999999998E-2</v>
      </c>
      <c r="V942" t="s">
        <v>495</v>
      </c>
      <c r="W942">
        <v>9.6481609999999995E-2</v>
      </c>
    </row>
    <row r="943" spans="1:23" x14ac:dyDescent="0.25">
      <c r="A943" s="3" t="str">
        <f>HYPERLINK("http://ids.si.edu/ids/deliveryService?id=NMAH-AHB2013q081527","NMAH-AHB2013q081527")</f>
        <v>NMAH-AHB2013q081527</v>
      </c>
      <c r="B943" s="3" t="s">
        <v>2339</v>
      </c>
      <c r="C943" s="3">
        <v>302008</v>
      </c>
      <c r="D943" s="3" t="s">
        <v>797</v>
      </c>
      <c r="E943" s="4" t="s">
        <v>834</v>
      </c>
      <c r="F943" t="s">
        <v>816</v>
      </c>
      <c r="G943">
        <v>0.91974693536758423</v>
      </c>
      <c r="H943" t="s">
        <v>907</v>
      </c>
      <c r="I943">
        <v>0.90885525941848755</v>
      </c>
      <c r="J943" t="s">
        <v>809</v>
      </c>
      <c r="K943" s="4">
        <v>0.8185240626335144</v>
      </c>
      <c r="L943" t="s">
        <v>83</v>
      </c>
      <c r="M943">
        <v>0.44670057000000002</v>
      </c>
      <c r="N943" t="s">
        <v>879</v>
      </c>
      <c r="O943">
        <v>0.39716315000000002</v>
      </c>
      <c r="P943" t="s">
        <v>498</v>
      </c>
      <c r="Q943" s="4">
        <v>5.7457868000000002E-2</v>
      </c>
      <c r="R943" t="s">
        <v>83</v>
      </c>
      <c r="S943">
        <v>0.50638722999999997</v>
      </c>
      <c r="T943" t="s">
        <v>157</v>
      </c>
      <c r="U943">
        <v>0.30451590000000001</v>
      </c>
      <c r="V943" t="s">
        <v>159</v>
      </c>
      <c r="W943">
        <v>3.0916404000000001E-2</v>
      </c>
    </row>
    <row r="944" spans="1:23" x14ac:dyDescent="0.25">
      <c r="A944" s="3" t="str">
        <f>HYPERLINK("http://ids.si.edu/ids/deliveryService?id=NMAH-AHB2014q065866","NMAH-AHB2014q065866")</f>
        <v>NMAH-AHB2014q065866</v>
      </c>
      <c r="B944" s="3" t="s">
        <v>2340</v>
      </c>
      <c r="C944" s="3">
        <v>308269</v>
      </c>
      <c r="D944" s="3" t="s">
        <v>797</v>
      </c>
      <c r="E944" s="4" t="s">
        <v>2341</v>
      </c>
      <c r="F944" t="s">
        <v>525</v>
      </c>
      <c r="G944">
        <v>0.90855365991592407</v>
      </c>
      <c r="H944" t="s">
        <v>49</v>
      </c>
      <c r="I944">
        <v>0.67109400033950806</v>
      </c>
      <c r="J944" t="s">
        <v>50</v>
      </c>
      <c r="K944" s="4">
        <v>0.5114516019821167</v>
      </c>
      <c r="L944" t="s">
        <v>95</v>
      </c>
      <c r="M944">
        <v>0.18443029999999999</v>
      </c>
      <c r="N944" t="s">
        <v>369</v>
      </c>
      <c r="O944">
        <v>0.14598796</v>
      </c>
      <c r="P944" t="s">
        <v>571</v>
      </c>
      <c r="Q944" s="4">
        <v>0.14266491000000001</v>
      </c>
      <c r="R944" t="s">
        <v>95</v>
      </c>
      <c r="S944">
        <v>0.30604848000000001</v>
      </c>
      <c r="T944" t="s">
        <v>369</v>
      </c>
      <c r="U944">
        <v>0.28811005000000001</v>
      </c>
      <c r="V944" t="s">
        <v>336</v>
      </c>
      <c r="W944">
        <v>7.9031266000000003E-2</v>
      </c>
    </row>
    <row r="945" spans="1:23" x14ac:dyDescent="0.25">
      <c r="A945" s="3" t="str">
        <f>HYPERLINK("http://ids.si.edu/ids/deliveryService?id=NMAH-AHB2017q098117","NMAH-AHB2017q098117")</f>
        <v>NMAH-AHB2017q098117</v>
      </c>
      <c r="B945" s="3" t="s">
        <v>2342</v>
      </c>
      <c r="C945" s="3">
        <v>598532</v>
      </c>
      <c r="D945" s="3" t="s">
        <v>797</v>
      </c>
      <c r="E945" s="4" t="s">
        <v>464</v>
      </c>
      <c r="F945" t="s">
        <v>574</v>
      </c>
      <c r="G945">
        <v>0.91394120454788208</v>
      </c>
      <c r="H945" t="s">
        <v>921</v>
      </c>
      <c r="I945">
        <v>0.87820166349411011</v>
      </c>
      <c r="J945" t="s">
        <v>2343</v>
      </c>
      <c r="K945" s="4">
        <v>0.79399114847183228</v>
      </c>
      <c r="L945" t="s">
        <v>821</v>
      </c>
      <c r="M945">
        <v>0.47413119999999997</v>
      </c>
      <c r="N945" t="s">
        <v>30</v>
      </c>
      <c r="O945">
        <v>0.33145306000000002</v>
      </c>
      <c r="P945" t="s">
        <v>984</v>
      </c>
      <c r="Q945" s="4">
        <v>0.13218521999999999</v>
      </c>
      <c r="R945" t="s">
        <v>464</v>
      </c>
      <c r="S945">
        <v>0.28067827000000001</v>
      </c>
      <c r="T945" t="s">
        <v>30</v>
      </c>
      <c r="U945">
        <v>0.12086060999999999</v>
      </c>
      <c r="V945" t="s">
        <v>984</v>
      </c>
      <c r="W945">
        <v>0.10106123</v>
      </c>
    </row>
    <row r="946" spans="1:23" x14ac:dyDescent="0.25">
      <c r="A946" s="3" t="str">
        <f>HYPERLINK("http://ids.si.edu/ids/deliveryService?id=NMAH-2003-24866","NMAH-2003-24866")</f>
        <v>NMAH-2003-24866</v>
      </c>
      <c r="B946" s="3" t="s">
        <v>2344</v>
      </c>
      <c r="C946" s="3">
        <v>325739</v>
      </c>
      <c r="D946" s="3" t="s">
        <v>797</v>
      </c>
      <c r="E946" s="4" t="s">
        <v>803</v>
      </c>
      <c r="F946" t="s">
        <v>264</v>
      </c>
      <c r="G946">
        <v>0.6609531044960022</v>
      </c>
      <c r="H946" t="s">
        <v>62</v>
      </c>
      <c r="I946">
        <v>0.50218719244003296</v>
      </c>
      <c r="L946" t="s">
        <v>65</v>
      </c>
      <c r="M946">
        <v>0.88286390000000015</v>
      </c>
      <c r="N946" t="s">
        <v>66</v>
      </c>
      <c r="O946">
        <v>5.7151090000000002E-2</v>
      </c>
      <c r="P946" t="s">
        <v>426</v>
      </c>
      <c r="Q946" s="4">
        <v>1.6077923000000001E-2</v>
      </c>
      <c r="R946" t="s">
        <v>65</v>
      </c>
      <c r="S946">
        <v>0.97726039999999992</v>
      </c>
      <c r="T946" t="s">
        <v>66</v>
      </c>
      <c r="U946">
        <v>6.7048873999999998E-3</v>
      </c>
      <c r="V946" t="s">
        <v>79</v>
      </c>
      <c r="W946">
        <v>6.4154075999999999E-3</v>
      </c>
    </row>
    <row r="947" spans="1:23" x14ac:dyDescent="0.25">
      <c r="A947" s="3" t="str">
        <f>HYPERLINK("http://ids.si.edu/ids/deliveryService?id=NMAH-AHB2013q091954","NMAH-AHB2013q091954")</f>
        <v>NMAH-AHB2013q091954</v>
      </c>
      <c r="B947" s="3" t="s">
        <v>2345</v>
      </c>
      <c r="C947" s="3">
        <v>323878</v>
      </c>
      <c r="D947" s="3" t="s">
        <v>797</v>
      </c>
      <c r="E947" s="4" t="s">
        <v>2346</v>
      </c>
      <c r="F947" t="s">
        <v>1078</v>
      </c>
      <c r="G947">
        <v>0.62756562232971191</v>
      </c>
      <c r="H947" t="s">
        <v>323</v>
      </c>
      <c r="I947">
        <v>0.62126666307449341</v>
      </c>
      <c r="L947" t="s">
        <v>83</v>
      </c>
      <c r="M947">
        <v>0.76145010000000002</v>
      </c>
      <c r="N947" t="s">
        <v>879</v>
      </c>
      <c r="O947">
        <v>8.7921849999999996E-2</v>
      </c>
      <c r="P947" t="s">
        <v>185</v>
      </c>
      <c r="Q947" s="4">
        <v>2.9165099999999999E-2</v>
      </c>
      <c r="R947" t="s">
        <v>389</v>
      </c>
      <c r="S947">
        <v>0.1848186</v>
      </c>
      <c r="T947" t="s">
        <v>83</v>
      </c>
      <c r="U947">
        <v>0.12319876</v>
      </c>
      <c r="V947" t="s">
        <v>185</v>
      </c>
      <c r="W947">
        <v>0.12206272</v>
      </c>
    </row>
    <row r="948" spans="1:23" x14ac:dyDescent="0.25">
      <c r="A948" s="3" t="str">
        <f>HYPERLINK("http://ids.si.edu/ids/deliveryService?id=NMAH-ET2016-05954","NMAH-ET2016-05954")</f>
        <v>NMAH-ET2016-05954</v>
      </c>
      <c r="B948" s="3" t="s">
        <v>2347</v>
      </c>
      <c r="C948" s="3">
        <v>1452890</v>
      </c>
      <c r="D948" s="3" t="s">
        <v>797</v>
      </c>
      <c r="E948" s="4" t="s">
        <v>1137</v>
      </c>
      <c r="F948" t="s">
        <v>917</v>
      </c>
      <c r="G948">
        <v>0.95497488975524902</v>
      </c>
      <c r="H948" t="s">
        <v>1116</v>
      </c>
      <c r="I948">
        <v>0.89575564861297607</v>
      </c>
      <c r="J948" t="s">
        <v>809</v>
      </c>
      <c r="K948" s="4">
        <v>0.87655049562454224</v>
      </c>
      <c r="L948" t="s">
        <v>30</v>
      </c>
      <c r="M948">
        <v>0.92093570000000002</v>
      </c>
      <c r="N948" t="s">
        <v>821</v>
      </c>
      <c r="O948">
        <v>4.9178880000000001E-2</v>
      </c>
      <c r="P948" t="s">
        <v>923</v>
      </c>
      <c r="Q948" s="4">
        <v>1.3942403000000001E-2</v>
      </c>
      <c r="R948" t="s">
        <v>30</v>
      </c>
      <c r="S948">
        <v>0.44025287000000002</v>
      </c>
      <c r="T948" t="s">
        <v>821</v>
      </c>
      <c r="U948">
        <v>0.17152793999999999</v>
      </c>
      <c r="V948" t="s">
        <v>464</v>
      </c>
      <c r="W948">
        <v>7.9496780000000003E-2</v>
      </c>
    </row>
    <row r="949" spans="1:23" x14ac:dyDescent="0.25">
      <c r="A949" s="3" t="str">
        <f>HYPERLINK("http://ids.si.edu/ids/deliveryService?id=NMAH-AHB2016q058937","NMAH-AHB2016q058937")</f>
        <v>NMAH-AHB2016q058937</v>
      </c>
      <c r="B949" s="3" t="s">
        <v>2348</v>
      </c>
      <c r="C949" s="3">
        <v>1273602</v>
      </c>
      <c r="D949" s="3" t="s">
        <v>797</v>
      </c>
      <c r="E949" s="4" t="s">
        <v>1000</v>
      </c>
      <c r="F949" t="s">
        <v>697</v>
      </c>
      <c r="G949">
        <v>0.94602793455123901</v>
      </c>
      <c r="H949" t="s">
        <v>206</v>
      </c>
      <c r="I949">
        <v>0.82640635967254639</v>
      </c>
      <c r="J949" t="s">
        <v>2349</v>
      </c>
      <c r="K949" s="4">
        <v>0.80411171913146973</v>
      </c>
      <c r="L949" t="s">
        <v>701</v>
      </c>
      <c r="M949">
        <v>0.71413070000000001</v>
      </c>
      <c r="N949" t="s">
        <v>41</v>
      </c>
      <c r="O949">
        <v>0.25251709999999999</v>
      </c>
      <c r="P949" t="s">
        <v>700</v>
      </c>
      <c r="Q949" s="4">
        <v>2.573607E-2</v>
      </c>
      <c r="R949" t="s">
        <v>41</v>
      </c>
      <c r="S949">
        <v>0.47129726</v>
      </c>
      <c r="T949" t="s">
        <v>701</v>
      </c>
      <c r="U949">
        <v>0.26790399999999998</v>
      </c>
      <c r="V949" t="s">
        <v>700</v>
      </c>
      <c r="W949">
        <v>8.865866E-2</v>
      </c>
    </row>
    <row r="950" spans="1:23" x14ac:dyDescent="0.25">
      <c r="A950" s="3" t="str">
        <f>HYPERLINK("http://ids.si.edu/ids/deliveryService?id=NMAH-AHB2014q055513","NMAH-AHB2014q055513")</f>
        <v>NMAH-AHB2014q055513</v>
      </c>
      <c r="B950" s="3" t="s">
        <v>2350</v>
      </c>
      <c r="C950" s="3">
        <v>311390</v>
      </c>
      <c r="D950" s="3" t="s">
        <v>797</v>
      </c>
      <c r="E950" s="4" t="s">
        <v>1155</v>
      </c>
      <c r="F950" t="s">
        <v>147</v>
      </c>
      <c r="G950">
        <v>0.80058944225311279</v>
      </c>
      <c r="L950" t="s">
        <v>184</v>
      </c>
      <c r="M950">
        <v>0.28226644000000001</v>
      </c>
      <c r="N950" t="s">
        <v>152</v>
      </c>
      <c r="O950">
        <v>0.20744715999999999</v>
      </c>
      <c r="P950" t="s">
        <v>673</v>
      </c>
      <c r="Q950" s="4">
        <v>0.13892561</v>
      </c>
      <c r="R950" t="s">
        <v>148</v>
      </c>
      <c r="S950">
        <v>0.23051879</v>
      </c>
      <c r="T950" t="s">
        <v>152</v>
      </c>
      <c r="U950">
        <v>0.14137284</v>
      </c>
      <c r="V950" t="s">
        <v>151</v>
      </c>
      <c r="W950">
        <v>0.10445336</v>
      </c>
    </row>
    <row r="951" spans="1:23" x14ac:dyDescent="0.25">
      <c r="A951" s="3" t="str">
        <f>HYPERLINK("http://ids.si.edu/ids/deliveryService?id=NMAH-AHB2014q101778","NMAH-AHB2014q101778")</f>
        <v>NMAH-AHB2014q101778</v>
      </c>
      <c r="B951" s="3" t="s">
        <v>2351</v>
      </c>
      <c r="C951" s="3">
        <v>571693</v>
      </c>
      <c r="D951" s="3" t="s">
        <v>797</v>
      </c>
      <c r="E951" s="4" t="s">
        <v>899</v>
      </c>
      <c r="F951" t="s">
        <v>892</v>
      </c>
      <c r="G951">
        <v>0.98481571674346924</v>
      </c>
      <c r="H951" t="s">
        <v>271</v>
      </c>
      <c r="I951">
        <v>0.97583377361297607</v>
      </c>
      <c r="J951" t="s">
        <v>896</v>
      </c>
      <c r="K951" s="4">
        <v>0.96442270278930664</v>
      </c>
      <c r="L951" t="s">
        <v>678</v>
      </c>
      <c r="M951">
        <v>0.15096676000000001</v>
      </c>
      <c r="N951" t="s">
        <v>498</v>
      </c>
      <c r="O951">
        <v>0.10406691999999999</v>
      </c>
      <c r="P951" t="s">
        <v>1028</v>
      </c>
      <c r="Q951" s="4">
        <v>5.5293567000000002E-2</v>
      </c>
      <c r="R951" t="s">
        <v>678</v>
      </c>
      <c r="S951">
        <v>0.30473985999999997</v>
      </c>
      <c r="T951" t="s">
        <v>97</v>
      </c>
      <c r="U951">
        <v>0.17694119</v>
      </c>
      <c r="V951" t="s">
        <v>336</v>
      </c>
      <c r="W951">
        <v>0.17262852000000001</v>
      </c>
    </row>
    <row r="952" spans="1:23" x14ac:dyDescent="0.25">
      <c r="A952" s="3" t="str">
        <f>HYPERLINK("http://ids.si.edu/ids/deliveryService?id=NMAH-JN2015-7510-000002","NMAH-JN2015-7510-000002")</f>
        <v>NMAH-JN2015-7510-000002</v>
      </c>
      <c r="B952" s="3" t="s">
        <v>2352</v>
      </c>
      <c r="C952" s="3">
        <v>1415543</v>
      </c>
      <c r="D952" s="3" t="s">
        <v>797</v>
      </c>
      <c r="E952" s="4" t="s">
        <v>1005</v>
      </c>
      <c r="F952" t="s">
        <v>845</v>
      </c>
      <c r="G952">
        <v>0.96919149160385132</v>
      </c>
      <c r="H952" t="s">
        <v>1006</v>
      </c>
      <c r="I952">
        <v>0.93172162771224976</v>
      </c>
      <c r="J952" t="s">
        <v>809</v>
      </c>
      <c r="K952" s="4">
        <v>0.92431318759918213</v>
      </c>
      <c r="L952" t="s">
        <v>1008</v>
      </c>
      <c r="M952">
        <v>0.31477606000000002</v>
      </c>
      <c r="N952" t="s">
        <v>86</v>
      </c>
      <c r="O952">
        <v>0.30169203999999999</v>
      </c>
      <c r="P952" t="s">
        <v>847</v>
      </c>
      <c r="Q952" s="4">
        <v>0.18232614999999999</v>
      </c>
      <c r="R952" t="s">
        <v>1008</v>
      </c>
      <c r="S952">
        <v>0.49543720000000002</v>
      </c>
      <c r="T952" t="s">
        <v>86</v>
      </c>
      <c r="U952">
        <v>0.20368530000000001</v>
      </c>
      <c r="V952" t="s">
        <v>847</v>
      </c>
      <c r="W952">
        <v>6.3123553999999998E-2</v>
      </c>
    </row>
    <row r="953" spans="1:23" x14ac:dyDescent="0.25">
      <c r="A953" s="3" t="str">
        <f>HYPERLINK("http://ids.si.edu/ids/deliveryService?id=NMAH-AHB2013q091542","NMAH-AHB2013q091542")</f>
        <v>NMAH-AHB2013q091542</v>
      </c>
      <c r="B953" s="3" t="s">
        <v>2353</v>
      </c>
      <c r="C953" s="3">
        <v>321442</v>
      </c>
      <c r="D953" s="3" t="s">
        <v>797</v>
      </c>
      <c r="E953" s="4" t="s">
        <v>2354</v>
      </c>
      <c r="F953" t="s">
        <v>1613</v>
      </c>
      <c r="G953">
        <v>0.90818136930465698</v>
      </c>
      <c r="H953" t="s">
        <v>91</v>
      </c>
      <c r="I953">
        <v>0.88283330202102661</v>
      </c>
      <c r="J953" t="s">
        <v>188</v>
      </c>
      <c r="K953" s="4">
        <v>0.72967422008514404</v>
      </c>
      <c r="L953" t="s">
        <v>336</v>
      </c>
      <c r="M953">
        <v>0.43814283999999998</v>
      </c>
      <c r="N953" t="s">
        <v>261</v>
      </c>
      <c r="O953">
        <v>9.936855E-2</v>
      </c>
      <c r="P953" t="s">
        <v>157</v>
      </c>
      <c r="Q953" s="4">
        <v>7.1103860000000005E-2</v>
      </c>
      <c r="R953" t="s">
        <v>159</v>
      </c>
      <c r="S953">
        <v>0.29248497000000001</v>
      </c>
      <c r="T953" t="s">
        <v>66</v>
      </c>
      <c r="U953">
        <v>0.1028628</v>
      </c>
      <c r="V953" t="s">
        <v>83</v>
      </c>
      <c r="W953">
        <v>5.695807E-2</v>
      </c>
    </row>
    <row r="954" spans="1:23" x14ac:dyDescent="0.25">
      <c r="A954" s="3" t="str">
        <f>HYPERLINK("http://ids.si.edu/ids/deliveryService?id=NMAH-AHB2013q094149","NMAH-AHB2013q094149")</f>
        <v>NMAH-AHB2013q094149</v>
      </c>
      <c r="B954" s="3" t="s">
        <v>2355</v>
      </c>
      <c r="C954" s="3">
        <v>315063</v>
      </c>
      <c r="D954" s="3" t="s">
        <v>797</v>
      </c>
      <c r="E954" s="4" t="s">
        <v>925</v>
      </c>
      <c r="F954" t="s">
        <v>932</v>
      </c>
      <c r="G954">
        <v>0.53287488222122192</v>
      </c>
      <c r="H954" t="s">
        <v>2356</v>
      </c>
      <c r="I954">
        <v>0.52117037773132324</v>
      </c>
      <c r="L954" t="s">
        <v>2357</v>
      </c>
      <c r="M954">
        <v>9.6584840000000005E-2</v>
      </c>
      <c r="N954" t="s">
        <v>926</v>
      </c>
      <c r="O954">
        <v>9.401226E-2</v>
      </c>
      <c r="P954" t="s">
        <v>764</v>
      </c>
      <c r="Q954" s="4">
        <v>9.0953629999999994E-2</v>
      </c>
      <c r="R954" t="s">
        <v>926</v>
      </c>
      <c r="S954">
        <v>7.609431400000001E-2</v>
      </c>
      <c r="T954" t="s">
        <v>764</v>
      </c>
      <c r="U954">
        <v>7.3120094999999996E-2</v>
      </c>
      <c r="V954" t="s">
        <v>2357</v>
      </c>
      <c r="W954">
        <v>5.5017190000000001E-2</v>
      </c>
    </row>
    <row r="955" spans="1:23" x14ac:dyDescent="0.25">
      <c r="A955" s="3" t="str">
        <f>HYPERLINK("http://ids.si.edu/ids/deliveryService?id=NMAH-AHB2013q094659","NMAH-AHB2013q094659")</f>
        <v>NMAH-AHB2013q094659</v>
      </c>
      <c r="B955" s="3" t="s">
        <v>2358</v>
      </c>
      <c r="C955" s="3">
        <v>312256</v>
      </c>
      <c r="D955" s="3" t="s">
        <v>797</v>
      </c>
      <c r="E955" s="4" t="s">
        <v>2359</v>
      </c>
      <c r="F955" t="s">
        <v>2360</v>
      </c>
      <c r="G955">
        <v>0.84786063432693481</v>
      </c>
      <c r="H955" t="s">
        <v>2361</v>
      </c>
      <c r="I955">
        <v>0.79861760139465332</v>
      </c>
      <c r="J955" t="s">
        <v>281</v>
      </c>
      <c r="K955" s="4">
        <v>0.74859780073165894</v>
      </c>
      <c r="L955" t="s">
        <v>277</v>
      </c>
      <c r="M955">
        <v>0.87557065000000001</v>
      </c>
      <c r="N955" t="s">
        <v>78</v>
      </c>
      <c r="O955">
        <v>2.9753376000000002E-2</v>
      </c>
      <c r="P955" t="s">
        <v>157</v>
      </c>
      <c r="Q955" s="4">
        <v>1.6995034999999999E-2</v>
      </c>
      <c r="R955" t="s">
        <v>277</v>
      </c>
      <c r="S955">
        <v>0.11283567999999999</v>
      </c>
      <c r="T955" t="s">
        <v>151</v>
      </c>
      <c r="U955">
        <v>7.908548E-2</v>
      </c>
      <c r="V955" t="s">
        <v>157</v>
      </c>
      <c r="W955">
        <v>7.3278599999999999E-2</v>
      </c>
    </row>
    <row r="956" spans="1:23" x14ac:dyDescent="0.25">
      <c r="A956" s="3" t="str">
        <f>HYPERLINK("http://ids.si.edu/ids/deliveryService?id=NMAH-AHB2014q059909-000001","NMAH-AHB2014q059909-000001")</f>
        <v>NMAH-AHB2014q059909-000001</v>
      </c>
      <c r="B956" s="3" t="s">
        <v>2362</v>
      </c>
      <c r="C956" s="3">
        <v>303420</v>
      </c>
      <c r="D956" s="3" t="s">
        <v>797</v>
      </c>
      <c r="E956" s="4" t="s">
        <v>1137</v>
      </c>
      <c r="F956" t="s">
        <v>917</v>
      </c>
      <c r="G956">
        <v>0.86956721544265747</v>
      </c>
      <c r="H956" t="s">
        <v>921</v>
      </c>
      <c r="I956">
        <v>0.79974567890167236</v>
      </c>
      <c r="J956" t="s">
        <v>667</v>
      </c>
      <c r="K956" s="4">
        <v>0.76692259311676025</v>
      </c>
      <c r="L956" t="s">
        <v>30</v>
      </c>
      <c r="M956">
        <v>0.44460263999999999</v>
      </c>
      <c r="N956" t="s">
        <v>821</v>
      </c>
      <c r="O956">
        <v>0.39748326</v>
      </c>
      <c r="P956" t="s">
        <v>464</v>
      </c>
      <c r="Q956" s="4">
        <v>3.4623920000000002E-2</v>
      </c>
      <c r="R956" t="s">
        <v>30</v>
      </c>
      <c r="S956">
        <v>0.46815362999999999</v>
      </c>
      <c r="T956" t="s">
        <v>821</v>
      </c>
      <c r="U956">
        <v>0.20057800000000001</v>
      </c>
      <c r="V956" t="s">
        <v>464</v>
      </c>
      <c r="W956">
        <v>6.0990099999999998E-2</v>
      </c>
    </row>
    <row r="957" spans="1:23" x14ac:dyDescent="0.25">
      <c r="A957" s="3" t="str">
        <f>HYPERLINK("http://ids.si.edu/ids/deliveryService?id=NMAH-AHB2013q094842","NMAH-AHB2013q094842")</f>
        <v>NMAH-AHB2013q094842</v>
      </c>
      <c r="B957" s="3" t="s">
        <v>2363</v>
      </c>
      <c r="C957" s="3">
        <v>312677</v>
      </c>
      <c r="D957" s="3" t="s">
        <v>797</v>
      </c>
      <c r="E957" s="4" t="s">
        <v>925</v>
      </c>
      <c r="F957" t="s">
        <v>2277</v>
      </c>
      <c r="G957">
        <v>0.70420306921005249</v>
      </c>
      <c r="H957" t="s">
        <v>433</v>
      </c>
      <c r="I957">
        <v>0.56321263313293457</v>
      </c>
      <c r="J957" t="s">
        <v>932</v>
      </c>
      <c r="K957" s="4">
        <v>0.53287488222122192</v>
      </c>
      <c r="L957" t="s">
        <v>32</v>
      </c>
      <c r="M957">
        <v>0.19616248</v>
      </c>
      <c r="N957" t="s">
        <v>34</v>
      </c>
      <c r="O957">
        <v>0.106703214</v>
      </c>
      <c r="P957" t="s">
        <v>239</v>
      </c>
      <c r="Q957" s="4">
        <v>9.3572230000000006E-2</v>
      </c>
      <c r="R957" t="s">
        <v>159</v>
      </c>
      <c r="S957">
        <v>0.20535696000000001</v>
      </c>
      <c r="T957" t="s">
        <v>151</v>
      </c>
      <c r="U957">
        <v>0.12850223</v>
      </c>
      <c r="V957" t="s">
        <v>260</v>
      </c>
      <c r="W957">
        <v>0.103627145</v>
      </c>
    </row>
    <row r="958" spans="1:23" x14ac:dyDescent="0.25">
      <c r="A958" s="3" t="str">
        <f>HYPERLINK("http://ids.si.edu/ids/deliveryService?id=NMAH-AHB2013q098063","NMAH-AHB2013q098063")</f>
        <v>NMAH-AHB2013q098063</v>
      </c>
      <c r="B958" s="3" t="s">
        <v>2364</v>
      </c>
      <c r="C958" s="3">
        <v>1452440</v>
      </c>
      <c r="D958" s="3" t="s">
        <v>797</v>
      </c>
      <c r="E958" s="4" t="s">
        <v>842</v>
      </c>
      <c r="F958" t="s">
        <v>1461</v>
      </c>
      <c r="G958">
        <v>0.6924055814743042</v>
      </c>
      <c r="H958" t="s">
        <v>112</v>
      </c>
      <c r="I958">
        <v>0.68572378158569336</v>
      </c>
      <c r="J958" t="s">
        <v>1254</v>
      </c>
      <c r="K958" s="4">
        <v>0.58848637342453003</v>
      </c>
      <c r="L958" t="s">
        <v>66</v>
      </c>
      <c r="M958">
        <v>0.22827354</v>
      </c>
      <c r="N958" t="s">
        <v>571</v>
      </c>
      <c r="O958">
        <v>0.14909491999999999</v>
      </c>
      <c r="P958" t="s">
        <v>369</v>
      </c>
      <c r="Q958" s="4">
        <v>0.10551341</v>
      </c>
      <c r="R958" t="s">
        <v>66</v>
      </c>
      <c r="S958">
        <v>0.61271619999999993</v>
      </c>
      <c r="T958" t="s">
        <v>253</v>
      </c>
      <c r="U958">
        <v>2.4963595000000002E-2</v>
      </c>
      <c r="V958" t="s">
        <v>765</v>
      </c>
      <c r="W958">
        <v>2.2784878000000001E-2</v>
      </c>
    </row>
    <row r="959" spans="1:23" x14ac:dyDescent="0.25">
      <c r="A959" s="3" t="str">
        <f>HYPERLINK("http://ids.si.edu/ids/deliveryService?id=NMAH-AHB2014q069503","NMAH-AHB2014q069503")</f>
        <v>NMAH-AHB2014q069503</v>
      </c>
      <c r="B959" s="3" t="s">
        <v>2365</v>
      </c>
      <c r="C959" s="3">
        <v>307518</v>
      </c>
      <c r="D959" s="3" t="s">
        <v>797</v>
      </c>
      <c r="E959" s="4" t="s">
        <v>2366</v>
      </c>
      <c r="F959" t="s">
        <v>1078</v>
      </c>
      <c r="G959">
        <v>0.65812742710113525</v>
      </c>
      <c r="H959" t="s">
        <v>256</v>
      </c>
      <c r="I959">
        <v>0.65348172187805176</v>
      </c>
      <c r="J959" t="s">
        <v>328</v>
      </c>
      <c r="K959" s="4">
        <v>0.54630720615386963</v>
      </c>
      <c r="L959" t="s">
        <v>260</v>
      </c>
      <c r="M959">
        <v>0.33253777000000001</v>
      </c>
      <c r="N959" t="s">
        <v>83</v>
      </c>
      <c r="O959">
        <v>0.28340113</v>
      </c>
      <c r="P959" t="s">
        <v>397</v>
      </c>
      <c r="Q959" s="4">
        <v>6.8429015999999995E-2</v>
      </c>
      <c r="R959" t="s">
        <v>83</v>
      </c>
      <c r="S959">
        <v>0.17793181999999999</v>
      </c>
      <c r="T959" t="s">
        <v>185</v>
      </c>
      <c r="U959">
        <v>0.16912421999999999</v>
      </c>
      <c r="V959" t="s">
        <v>260</v>
      </c>
      <c r="W959">
        <v>9.3658745000000002E-2</v>
      </c>
    </row>
    <row r="960" spans="1:23" x14ac:dyDescent="0.25">
      <c r="A960" s="3" t="str">
        <f>HYPERLINK("http://ids.si.edu/ids/deliveryService?id=NMAH-AHB2014q060542","NMAH-AHB2014q060542")</f>
        <v>NMAH-AHB2014q060542</v>
      </c>
      <c r="B960" s="3" t="s">
        <v>2367</v>
      </c>
      <c r="C960" s="3">
        <v>303435</v>
      </c>
      <c r="D960" s="3" t="s">
        <v>797</v>
      </c>
      <c r="E960" s="4" t="s">
        <v>2368</v>
      </c>
      <c r="F960" t="s">
        <v>2369</v>
      </c>
      <c r="G960">
        <v>0.90549015998840332</v>
      </c>
      <c r="H960" t="s">
        <v>91</v>
      </c>
      <c r="I960">
        <v>0.88283330202102661</v>
      </c>
      <c r="J960" t="s">
        <v>2057</v>
      </c>
      <c r="K960" s="4">
        <v>0.79683047533035278</v>
      </c>
      <c r="L960" t="s">
        <v>1168</v>
      </c>
      <c r="M960">
        <v>0.64577209999999996</v>
      </c>
      <c r="N960" t="s">
        <v>213</v>
      </c>
      <c r="O960">
        <v>6.3759609999999994E-2</v>
      </c>
      <c r="P960" t="s">
        <v>98</v>
      </c>
      <c r="Q960" s="4">
        <v>4.7357682000000012E-2</v>
      </c>
      <c r="R960" t="s">
        <v>498</v>
      </c>
      <c r="S960">
        <v>0.16423199999999999</v>
      </c>
      <c r="T960" t="s">
        <v>923</v>
      </c>
      <c r="U960">
        <v>0.114073604</v>
      </c>
      <c r="V960" t="s">
        <v>82</v>
      </c>
      <c r="W960">
        <v>5.1355254000000003E-2</v>
      </c>
    </row>
    <row r="961" spans="1:23" x14ac:dyDescent="0.25">
      <c r="A961" s="3" t="str">
        <f>HYPERLINK("http://ids.si.edu/ids/deliveryService?id=NMAH-ET2013-15224","NMAH-ET2013-15224")</f>
        <v>NMAH-ET2013-15224</v>
      </c>
      <c r="B961" s="3" t="s">
        <v>2370</v>
      </c>
      <c r="C961" s="3">
        <v>574976</v>
      </c>
      <c r="D961" s="3" t="s">
        <v>797</v>
      </c>
      <c r="E961" s="4" t="s">
        <v>2371</v>
      </c>
      <c r="F961" t="s">
        <v>928</v>
      </c>
      <c r="G961">
        <v>0.98530733585357666</v>
      </c>
      <c r="H961" t="s">
        <v>929</v>
      </c>
      <c r="I961">
        <v>0.89961332082748413</v>
      </c>
      <c r="J961" t="s">
        <v>809</v>
      </c>
      <c r="K961" s="4">
        <v>0.85523360967636108</v>
      </c>
      <c r="L961" t="s">
        <v>847</v>
      </c>
      <c r="M961">
        <v>0.54861265000000003</v>
      </c>
      <c r="N961" t="s">
        <v>86</v>
      </c>
      <c r="O961">
        <v>0.34885514000000001</v>
      </c>
      <c r="P961" t="s">
        <v>30</v>
      </c>
      <c r="Q961" s="4">
        <v>3.0722843E-2</v>
      </c>
      <c r="R961" t="s">
        <v>847</v>
      </c>
      <c r="S961">
        <v>0.55782883999999999</v>
      </c>
      <c r="T961" t="s">
        <v>86</v>
      </c>
      <c r="U961">
        <v>0.28806781999999997</v>
      </c>
      <c r="V961" t="s">
        <v>30</v>
      </c>
      <c r="W961">
        <v>4.2861990000000003E-2</v>
      </c>
    </row>
    <row r="962" spans="1:23" x14ac:dyDescent="0.25">
      <c r="A962" s="3" t="str">
        <f>HYPERLINK("http://ids.si.edu/ids/deliveryService?id=NMAH-AHB2013q091921","NMAH-AHB2013q091921")</f>
        <v>NMAH-AHB2013q091921</v>
      </c>
      <c r="B962" s="3" t="s">
        <v>2372</v>
      </c>
      <c r="C962" s="3">
        <v>323863</v>
      </c>
      <c r="D962" s="3" t="s">
        <v>797</v>
      </c>
      <c r="E962" s="4" t="s">
        <v>2346</v>
      </c>
      <c r="F962" t="s">
        <v>324</v>
      </c>
      <c r="G962">
        <v>0.5391075611114502</v>
      </c>
      <c r="H962" t="s">
        <v>323</v>
      </c>
      <c r="I962">
        <v>0.52869576215744019</v>
      </c>
      <c r="L962" t="s">
        <v>151</v>
      </c>
      <c r="M962">
        <v>0.18525654</v>
      </c>
      <c r="N962" t="s">
        <v>83</v>
      </c>
      <c r="O962">
        <v>0.14608753999999999</v>
      </c>
      <c r="P962" t="s">
        <v>185</v>
      </c>
      <c r="Q962" s="4">
        <v>0.13935797</v>
      </c>
      <c r="R962" t="s">
        <v>53</v>
      </c>
      <c r="S962">
        <v>0.21617500000000001</v>
      </c>
      <c r="T962" t="s">
        <v>389</v>
      </c>
      <c r="U962">
        <v>0.20021406999999999</v>
      </c>
      <c r="V962" t="s">
        <v>83</v>
      </c>
      <c r="W962">
        <v>0.15332757999999999</v>
      </c>
    </row>
    <row r="963" spans="1:23" x14ac:dyDescent="0.25">
      <c r="A963" s="3" t="str">
        <f>HYPERLINK("http://ids.si.edu/ids/deliveryService?id=NMAH-AHB2013q092155","NMAH-AHB2013q092155")</f>
        <v>NMAH-AHB2013q092155</v>
      </c>
      <c r="B963" s="3" t="s">
        <v>2373</v>
      </c>
      <c r="C963" s="3">
        <v>323968</v>
      </c>
      <c r="D963" s="3" t="s">
        <v>797</v>
      </c>
      <c r="E963" s="4" t="s">
        <v>2374</v>
      </c>
      <c r="F963" t="s">
        <v>882</v>
      </c>
      <c r="G963">
        <v>0.68467360734939575</v>
      </c>
      <c r="H963" t="s">
        <v>328</v>
      </c>
      <c r="I963">
        <v>0.62255328893661499</v>
      </c>
      <c r="J963" t="s">
        <v>2375</v>
      </c>
      <c r="K963" s="4">
        <v>0.60843080282211304</v>
      </c>
      <c r="L963" t="s">
        <v>83</v>
      </c>
      <c r="M963">
        <v>0.76290669999999994</v>
      </c>
      <c r="N963" t="s">
        <v>52</v>
      </c>
      <c r="O963">
        <v>0.19413705000000001</v>
      </c>
      <c r="P963" t="s">
        <v>84</v>
      </c>
      <c r="Q963" s="4">
        <v>1.4568655E-2</v>
      </c>
      <c r="R963" t="s">
        <v>83</v>
      </c>
      <c r="S963">
        <v>0.41204932</v>
      </c>
      <c r="T963" t="s">
        <v>389</v>
      </c>
      <c r="U963">
        <v>9.6575856000000002E-2</v>
      </c>
      <c r="V963" t="s">
        <v>53</v>
      </c>
      <c r="W963">
        <v>9.0500549999999999E-2</v>
      </c>
    </row>
    <row r="964" spans="1:23" x14ac:dyDescent="0.25">
      <c r="A964" s="3" t="str">
        <f>HYPERLINK("http://ids.si.edu/ids/deliveryService?id=NMAH-AHB2014q060917","NMAH-AHB2014q060917")</f>
        <v>NMAH-AHB2014q060917</v>
      </c>
      <c r="B964" s="3" t="s">
        <v>2376</v>
      </c>
      <c r="C964" s="3">
        <v>301093</v>
      </c>
      <c r="D964" s="3" t="s">
        <v>797</v>
      </c>
      <c r="E964" s="4" t="s">
        <v>146</v>
      </c>
      <c r="F964" t="s">
        <v>178</v>
      </c>
      <c r="G964">
        <v>0.86698198318481445</v>
      </c>
      <c r="H964" t="s">
        <v>2377</v>
      </c>
      <c r="I964">
        <v>0.8557552695274353</v>
      </c>
      <c r="J964" t="s">
        <v>408</v>
      </c>
      <c r="K964" s="4">
        <v>0.77665197849273682</v>
      </c>
      <c r="L964" t="s">
        <v>411</v>
      </c>
      <c r="M964">
        <v>0.12674110999999999</v>
      </c>
      <c r="N964" t="s">
        <v>364</v>
      </c>
      <c r="O964">
        <v>7.4453160000000004E-2</v>
      </c>
      <c r="P964" t="s">
        <v>113</v>
      </c>
      <c r="Q964" s="4">
        <v>4.1791096E-2</v>
      </c>
      <c r="R964" t="s">
        <v>303</v>
      </c>
      <c r="S964">
        <v>9.9318480000000001E-2</v>
      </c>
      <c r="T964" t="s">
        <v>213</v>
      </c>
      <c r="U964">
        <v>9.5696550000000005E-2</v>
      </c>
      <c r="V964" t="s">
        <v>93</v>
      </c>
      <c r="W964">
        <v>5.9398375000000003E-2</v>
      </c>
    </row>
    <row r="965" spans="1:23" x14ac:dyDescent="0.25">
      <c r="A965" s="3" t="str">
        <f>HYPERLINK("http://ids.si.edu/ids/deliveryService?id=NMAH-2003-24436","NMAH-2003-24436")</f>
        <v>NMAH-2003-24436</v>
      </c>
      <c r="B965" s="3" t="s">
        <v>2378</v>
      </c>
      <c r="C965" s="3">
        <v>324900</v>
      </c>
      <c r="D965" s="3" t="s">
        <v>797</v>
      </c>
      <c r="E965" s="4" t="s">
        <v>803</v>
      </c>
      <c r="F965" t="s">
        <v>264</v>
      </c>
      <c r="G965">
        <v>0.83667284250259399</v>
      </c>
      <c r="H965" t="s">
        <v>62</v>
      </c>
      <c r="I965">
        <v>0.70886510610580444</v>
      </c>
      <c r="J965" t="s">
        <v>636</v>
      </c>
      <c r="K965" s="4">
        <v>0.67730218172073364</v>
      </c>
      <c r="L965" t="s">
        <v>65</v>
      </c>
      <c r="M965">
        <v>0.90825100000000003</v>
      </c>
      <c r="N965" t="s">
        <v>66</v>
      </c>
      <c r="O965">
        <v>5.1225014000000013E-2</v>
      </c>
      <c r="P965" t="s">
        <v>79</v>
      </c>
      <c r="Q965" s="4">
        <v>1.1184107E-2</v>
      </c>
      <c r="R965" t="s">
        <v>65</v>
      </c>
      <c r="S965">
        <v>0.84203519999999987</v>
      </c>
      <c r="T965" t="s">
        <v>426</v>
      </c>
      <c r="U965">
        <v>7.2202409999999995E-2</v>
      </c>
      <c r="V965" t="s">
        <v>29</v>
      </c>
      <c r="W965">
        <v>2.7720554000000001E-2</v>
      </c>
    </row>
    <row r="966" spans="1:23" x14ac:dyDescent="0.25">
      <c r="A966" s="3" t="str">
        <f>HYPERLINK("http://ids.si.edu/ids/deliveryService?id=NMAH-AHB2013q082951","NMAH-AHB2013q082951")</f>
        <v>NMAH-AHB2013q082951</v>
      </c>
      <c r="B966" s="3" t="s">
        <v>2379</v>
      </c>
      <c r="C966" s="3">
        <v>302630</v>
      </c>
      <c r="D966" s="3" t="s">
        <v>797</v>
      </c>
      <c r="E966" s="4" t="s">
        <v>850</v>
      </c>
      <c r="F966" t="s">
        <v>851</v>
      </c>
      <c r="G966">
        <v>0.96221274137496948</v>
      </c>
      <c r="H966" t="s">
        <v>816</v>
      </c>
      <c r="I966">
        <v>0.92200058698654175</v>
      </c>
      <c r="J966" t="s">
        <v>809</v>
      </c>
      <c r="K966" s="4">
        <v>0.81966596841812134</v>
      </c>
      <c r="L966" t="s">
        <v>83</v>
      </c>
      <c r="M966">
        <v>0.57334110000000005</v>
      </c>
      <c r="N966" t="s">
        <v>703</v>
      </c>
      <c r="O966">
        <v>0.15529218</v>
      </c>
      <c r="P966" t="s">
        <v>879</v>
      </c>
      <c r="Q966" s="4">
        <v>0.10691871999999999</v>
      </c>
      <c r="R966" t="s">
        <v>83</v>
      </c>
      <c r="S966">
        <v>0.87624126999999996</v>
      </c>
      <c r="T966" t="s">
        <v>498</v>
      </c>
      <c r="U966">
        <v>4.0121245999999999E-2</v>
      </c>
      <c r="V966" t="s">
        <v>87</v>
      </c>
      <c r="W966">
        <v>2.1537686E-2</v>
      </c>
    </row>
    <row r="967" spans="1:23" x14ac:dyDescent="0.25">
      <c r="A967" s="3" t="str">
        <f>HYPERLINK("http://ids.si.edu/ids/deliveryService?id=NMAH-AHB2014q060790","NMAH-AHB2014q060790")</f>
        <v>NMAH-AHB2014q060790</v>
      </c>
      <c r="B967" s="3" t="s">
        <v>2380</v>
      </c>
      <c r="C967" s="3">
        <v>301013</v>
      </c>
      <c r="D967" s="3" t="s">
        <v>797</v>
      </c>
      <c r="E967" s="4" t="s">
        <v>1114</v>
      </c>
      <c r="F967" t="s">
        <v>929</v>
      </c>
      <c r="G967">
        <v>0.91793984174728394</v>
      </c>
      <c r="H967" t="s">
        <v>928</v>
      </c>
      <c r="I967">
        <v>0.9144444465637207</v>
      </c>
      <c r="J967" t="s">
        <v>917</v>
      </c>
      <c r="K967" s="4">
        <v>0.887664794921875</v>
      </c>
      <c r="L967" t="s">
        <v>86</v>
      </c>
      <c r="M967">
        <v>0.65561849999999999</v>
      </c>
      <c r="N967" t="s">
        <v>821</v>
      </c>
      <c r="O967">
        <v>8.0490049999999994E-2</v>
      </c>
      <c r="P967" t="s">
        <v>30</v>
      </c>
      <c r="Q967" s="4">
        <v>6.9985143999999999E-2</v>
      </c>
      <c r="R967" t="s">
        <v>86</v>
      </c>
      <c r="S967">
        <v>0.36864954</v>
      </c>
      <c r="T967" t="s">
        <v>30</v>
      </c>
      <c r="U967">
        <v>0.1506246</v>
      </c>
      <c r="V967" t="s">
        <v>821</v>
      </c>
      <c r="W967">
        <v>7.8863450000000002E-2</v>
      </c>
    </row>
    <row r="968" spans="1:23" x14ac:dyDescent="0.25">
      <c r="A968" s="3" t="str">
        <f>HYPERLINK("http://ids.si.edu/ids/deliveryService?id=NMAH-AHB2017q096440","NMAH-AHB2017q096440")</f>
        <v>NMAH-AHB2017q096440</v>
      </c>
      <c r="B968" s="3" t="s">
        <v>2381</v>
      </c>
      <c r="C968" s="3">
        <v>588601</v>
      </c>
      <c r="D968" s="3" t="s">
        <v>797</v>
      </c>
      <c r="E968" s="4" t="s">
        <v>1057</v>
      </c>
      <c r="F968" t="s">
        <v>574</v>
      </c>
      <c r="G968">
        <v>0.89775598049163818</v>
      </c>
      <c r="H968" t="s">
        <v>921</v>
      </c>
      <c r="I968">
        <v>0.85183101892471313</v>
      </c>
      <c r="J968" t="s">
        <v>1325</v>
      </c>
      <c r="K968" s="4">
        <v>0.61143845319747925</v>
      </c>
      <c r="L968" t="s">
        <v>416</v>
      </c>
      <c r="M968">
        <v>0.81852279999999999</v>
      </c>
      <c r="N968" t="s">
        <v>312</v>
      </c>
      <c r="O968">
        <v>4.7261886000000003E-2</v>
      </c>
      <c r="P968" t="s">
        <v>314</v>
      </c>
      <c r="Q968" s="4">
        <v>4.554573E-2</v>
      </c>
      <c r="R968" t="s">
        <v>416</v>
      </c>
      <c r="S968">
        <v>0.3704923</v>
      </c>
      <c r="T968" t="s">
        <v>312</v>
      </c>
      <c r="U968">
        <v>0.16418889</v>
      </c>
      <c r="V968" t="s">
        <v>464</v>
      </c>
      <c r="W968">
        <v>0.15322284</v>
      </c>
    </row>
    <row r="969" spans="1:23" x14ac:dyDescent="0.25">
      <c r="A969" s="3" t="str">
        <f>HYPERLINK("http://ids.si.edu/ids/deliveryService?id=NMAH-AHB2017q098275","NMAH-AHB2017q098275")</f>
        <v>NMAH-AHB2017q098275</v>
      </c>
      <c r="B969" s="3" t="s">
        <v>2382</v>
      </c>
      <c r="C969" s="3">
        <v>588763</v>
      </c>
      <c r="D969" s="3" t="s">
        <v>797</v>
      </c>
      <c r="E969" s="4" t="s">
        <v>2383</v>
      </c>
      <c r="F969" t="s">
        <v>2384</v>
      </c>
      <c r="G969">
        <v>0.88033372163772583</v>
      </c>
      <c r="H969" t="s">
        <v>574</v>
      </c>
      <c r="I969">
        <v>0.85158497095108032</v>
      </c>
      <c r="J969" t="s">
        <v>809</v>
      </c>
      <c r="K969" s="4">
        <v>0.80609655380249023</v>
      </c>
      <c r="L969" t="s">
        <v>416</v>
      </c>
      <c r="M969">
        <v>0.4110722</v>
      </c>
      <c r="N969" t="s">
        <v>411</v>
      </c>
      <c r="O969">
        <v>8.9259355999999998E-2</v>
      </c>
      <c r="P969" t="s">
        <v>678</v>
      </c>
      <c r="Q969" s="4">
        <v>4.4816982000000012E-2</v>
      </c>
      <c r="R969" t="s">
        <v>416</v>
      </c>
      <c r="S969">
        <v>0.31717792</v>
      </c>
      <c r="T969" t="s">
        <v>678</v>
      </c>
      <c r="U969">
        <v>6.0420587999999997E-2</v>
      </c>
      <c r="V969" t="s">
        <v>464</v>
      </c>
      <c r="W969">
        <v>2.5259365999999998E-2</v>
      </c>
    </row>
    <row r="970" spans="1:23" x14ac:dyDescent="0.25">
      <c r="A970" s="3" t="str">
        <f>HYPERLINK("http://ids.si.edu/ids/deliveryService?id=NMAH-AHB2015q001002","NMAH-AHB2015q001002")</f>
        <v>NMAH-AHB2015q001002</v>
      </c>
      <c r="B970" s="3" t="s">
        <v>2385</v>
      </c>
      <c r="C970" s="3">
        <v>1442724</v>
      </c>
      <c r="D970" s="3" t="s">
        <v>797</v>
      </c>
      <c r="E970" s="4" t="s">
        <v>2386</v>
      </c>
      <c r="F970" t="s">
        <v>870</v>
      </c>
      <c r="G970">
        <v>0.63352519273757935</v>
      </c>
      <c r="L970" t="s">
        <v>42</v>
      </c>
      <c r="M970">
        <v>0.21486515</v>
      </c>
      <c r="N970" t="s">
        <v>105</v>
      </c>
      <c r="O970">
        <v>0.19735326</v>
      </c>
      <c r="P970" t="s">
        <v>57</v>
      </c>
      <c r="Q970" s="4">
        <v>0.16961219999999999</v>
      </c>
      <c r="R970" t="s">
        <v>199</v>
      </c>
      <c r="S970">
        <v>0.55779003999999999</v>
      </c>
      <c r="T970" t="s">
        <v>134</v>
      </c>
      <c r="U970">
        <v>0.10089476</v>
      </c>
      <c r="V970" t="s">
        <v>209</v>
      </c>
      <c r="W970">
        <v>9.6172129999999995E-2</v>
      </c>
    </row>
    <row r="971" spans="1:23" x14ac:dyDescent="0.25">
      <c r="A971" s="3" t="str">
        <f>HYPERLINK("http://ids.si.edu/ids/deliveryService?id=NMAH-AHB2013q092033","NMAH-AHB2013q092033")</f>
        <v>NMAH-AHB2013q092033</v>
      </c>
      <c r="B971" s="3" t="s">
        <v>2387</v>
      </c>
      <c r="C971" s="3">
        <v>323912</v>
      </c>
      <c r="D971" s="3" t="s">
        <v>797</v>
      </c>
      <c r="E971" s="4" t="s">
        <v>881</v>
      </c>
      <c r="F971" t="s">
        <v>324</v>
      </c>
      <c r="G971">
        <v>0.53586244583129883</v>
      </c>
      <c r="H971" t="s">
        <v>323</v>
      </c>
      <c r="I971">
        <v>0.5199769139289856</v>
      </c>
      <c r="L971" t="s">
        <v>83</v>
      </c>
      <c r="M971">
        <v>0.77310853999999996</v>
      </c>
      <c r="N971" t="s">
        <v>260</v>
      </c>
      <c r="O971">
        <v>8.5904880000000003E-2</v>
      </c>
      <c r="P971" t="s">
        <v>185</v>
      </c>
      <c r="Q971" s="4">
        <v>6.1226982999999999E-2</v>
      </c>
      <c r="R971" t="s">
        <v>83</v>
      </c>
      <c r="S971">
        <v>0.26785209999999998</v>
      </c>
      <c r="T971" t="s">
        <v>260</v>
      </c>
      <c r="U971">
        <v>0.12901345</v>
      </c>
      <c r="V971" t="s">
        <v>389</v>
      </c>
      <c r="W971">
        <v>0.10761419999999999</v>
      </c>
    </row>
    <row r="972" spans="1:23" x14ac:dyDescent="0.25">
      <c r="A972" s="3" t="str">
        <f>HYPERLINK("http://ids.si.edu/ids/deliveryService?id=NMAH-AHB2016q026992","NMAH-AHB2016q026992")</f>
        <v>NMAH-AHB2016q026992</v>
      </c>
      <c r="B972" s="3" t="s">
        <v>2388</v>
      </c>
      <c r="C972" s="3">
        <v>575208</v>
      </c>
      <c r="D972" s="3" t="s">
        <v>797</v>
      </c>
      <c r="E972" s="4" t="s">
        <v>2389</v>
      </c>
      <c r="F972" t="s">
        <v>832</v>
      </c>
      <c r="G972">
        <v>0.982166588306427</v>
      </c>
      <c r="H972" t="s">
        <v>896</v>
      </c>
      <c r="I972">
        <v>0.93922907114028931</v>
      </c>
      <c r="J972" t="s">
        <v>917</v>
      </c>
      <c r="K972" s="4">
        <v>0.90343815088272095</v>
      </c>
      <c r="L972" t="s">
        <v>2390</v>
      </c>
      <c r="M972">
        <v>0.22657503000000001</v>
      </c>
      <c r="N972" t="s">
        <v>86</v>
      </c>
      <c r="O972">
        <v>0.16263001999999999</v>
      </c>
      <c r="P972" t="s">
        <v>498</v>
      </c>
      <c r="Q972" s="4">
        <v>0.10601589</v>
      </c>
      <c r="R972" t="s">
        <v>498</v>
      </c>
      <c r="S972">
        <v>0.45845687000000002</v>
      </c>
      <c r="T972" t="s">
        <v>86</v>
      </c>
      <c r="U972">
        <v>0.10254355</v>
      </c>
      <c r="V972" t="s">
        <v>159</v>
      </c>
      <c r="W972">
        <v>0.10114746500000001</v>
      </c>
    </row>
    <row r="973" spans="1:23" x14ac:dyDescent="0.25">
      <c r="A973" s="3" t="str">
        <f>HYPERLINK("http://ids.si.edu/ids/deliveryService?id=NMAH-AHB2014q060640","NMAH-AHB2014q060640")</f>
        <v>NMAH-AHB2014q060640</v>
      </c>
      <c r="B973" s="3" t="s">
        <v>2391</v>
      </c>
      <c r="C973" s="3">
        <v>300970</v>
      </c>
      <c r="D973" s="3" t="s">
        <v>797</v>
      </c>
      <c r="E973" s="4" t="s">
        <v>1114</v>
      </c>
      <c r="F973" t="s">
        <v>917</v>
      </c>
      <c r="G973">
        <v>0.9006962776184082</v>
      </c>
      <c r="H973" t="s">
        <v>809</v>
      </c>
      <c r="I973">
        <v>0.75697654485702515</v>
      </c>
      <c r="J973" t="s">
        <v>929</v>
      </c>
      <c r="K973" s="4">
        <v>0.74981480836868286</v>
      </c>
      <c r="L973" t="s">
        <v>86</v>
      </c>
      <c r="M973">
        <v>0.56360740000000009</v>
      </c>
      <c r="N973" t="s">
        <v>821</v>
      </c>
      <c r="O973">
        <v>0.13246214000000001</v>
      </c>
      <c r="P973" t="s">
        <v>30</v>
      </c>
      <c r="Q973" s="4">
        <v>9.3161345000000007E-2</v>
      </c>
      <c r="R973" t="s">
        <v>86</v>
      </c>
      <c r="S973">
        <v>0.20544651</v>
      </c>
      <c r="T973" t="s">
        <v>1013</v>
      </c>
      <c r="U973">
        <v>0.13215379999999999</v>
      </c>
      <c r="V973" t="s">
        <v>1168</v>
      </c>
      <c r="W973">
        <v>0.10728015</v>
      </c>
    </row>
    <row r="974" spans="1:23" x14ac:dyDescent="0.25">
      <c r="A974" s="3" t="str">
        <f>HYPERLINK("http://ids.si.edu/ids/deliveryService?id=NMAH-AHB2013q081772","NMAH-AHB2013q081772")</f>
        <v>NMAH-AHB2013q081772</v>
      </c>
      <c r="B974" s="3" t="s">
        <v>2392</v>
      </c>
      <c r="C974" s="3">
        <v>302162</v>
      </c>
      <c r="D974" s="3" t="s">
        <v>797</v>
      </c>
      <c r="E974" s="4" t="s">
        <v>850</v>
      </c>
      <c r="F974" t="s">
        <v>851</v>
      </c>
      <c r="G974">
        <v>0.96221274137496948</v>
      </c>
      <c r="H974" t="s">
        <v>816</v>
      </c>
      <c r="I974">
        <v>0.94343024492263794</v>
      </c>
      <c r="J974" t="s">
        <v>91</v>
      </c>
      <c r="K974" s="4">
        <v>0.92529410123825073</v>
      </c>
      <c r="L974" t="s">
        <v>498</v>
      </c>
      <c r="M974">
        <v>0.91685000000000005</v>
      </c>
      <c r="N974" t="s">
        <v>1093</v>
      </c>
      <c r="O974">
        <v>3.5227254E-2</v>
      </c>
      <c r="P974" t="s">
        <v>83</v>
      </c>
      <c r="Q974" s="4">
        <v>1.55628165E-2</v>
      </c>
      <c r="R974" t="s">
        <v>83</v>
      </c>
      <c r="S974">
        <v>0.50984759999999996</v>
      </c>
      <c r="T974" t="s">
        <v>159</v>
      </c>
      <c r="U974">
        <v>0.10952133</v>
      </c>
      <c r="V974" t="s">
        <v>498</v>
      </c>
      <c r="W974">
        <v>9.3374945000000001E-2</v>
      </c>
    </row>
    <row r="975" spans="1:23" x14ac:dyDescent="0.25">
      <c r="A975" s="3" t="str">
        <f>HYPERLINK("http://ids.si.edu/ids/deliveryService?id=NMAH-AHB2014q057266","NMAH-AHB2014q057266")</f>
        <v>NMAH-AHB2014q057266</v>
      </c>
      <c r="B975" s="3" t="s">
        <v>2393</v>
      </c>
      <c r="C975" s="3">
        <v>1455504</v>
      </c>
      <c r="D975" s="3" t="s">
        <v>797</v>
      </c>
      <c r="E975" s="4" t="s">
        <v>2394</v>
      </c>
      <c r="F975" t="s">
        <v>91</v>
      </c>
      <c r="G975">
        <v>0.88283330202102661</v>
      </c>
      <c r="H975" t="s">
        <v>851</v>
      </c>
      <c r="I975">
        <v>0.73250663280487061</v>
      </c>
      <c r="J975" t="s">
        <v>2395</v>
      </c>
      <c r="K975" s="4">
        <v>0.66876423358917236</v>
      </c>
      <c r="L975" t="s">
        <v>498</v>
      </c>
      <c r="M975">
        <v>0.21571419</v>
      </c>
      <c r="N975" t="s">
        <v>185</v>
      </c>
      <c r="O975">
        <v>0.16067618</v>
      </c>
      <c r="P975" t="s">
        <v>370</v>
      </c>
      <c r="Q975" s="4">
        <v>0.115183696</v>
      </c>
      <c r="R975" t="s">
        <v>141</v>
      </c>
      <c r="S975">
        <v>0.25091164999999999</v>
      </c>
      <c r="T975" t="s">
        <v>369</v>
      </c>
      <c r="U975">
        <v>9.371637599999999E-2</v>
      </c>
      <c r="V975" t="s">
        <v>185</v>
      </c>
      <c r="W975">
        <v>6.4532300000000001E-2</v>
      </c>
    </row>
    <row r="976" spans="1:23" x14ac:dyDescent="0.25">
      <c r="A976" s="3" t="str">
        <f>HYPERLINK("http://ids.si.edu/ids/deliveryService?id=NMAH-AHB2015q001022","NMAH-AHB2015q001022")</f>
        <v>NMAH-AHB2015q001022</v>
      </c>
      <c r="B976" s="3" t="s">
        <v>2396</v>
      </c>
      <c r="C976" s="3">
        <v>624606</v>
      </c>
      <c r="D976" s="3" t="s">
        <v>797</v>
      </c>
      <c r="E976" s="4" t="s">
        <v>2397</v>
      </c>
      <c r="F976" t="s">
        <v>340</v>
      </c>
      <c r="G976">
        <v>0.95123296976089478</v>
      </c>
      <c r="H976" t="s">
        <v>617</v>
      </c>
      <c r="I976">
        <v>0.90601134300231934</v>
      </c>
      <c r="J976" t="s">
        <v>39</v>
      </c>
      <c r="K976" s="4">
        <v>0.76971888542175293</v>
      </c>
      <c r="L976" t="s">
        <v>43</v>
      </c>
      <c r="M976">
        <v>0.22721470999999999</v>
      </c>
      <c r="N976" t="s">
        <v>444</v>
      </c>
      <c r="O976">
        <v>8.5783419999999999E-2</v>
      </c>
      <c r="P976" t="s">
        <v>376</v>
      </c>
      <c r="Q976" s="4">
        <v>6.2172934000000013E-2</v>
      </c>
      <c r="R976" t="s">
        <v>44</v>
      </c>
      <c r="S976">
        <v>0.31881973000000002</v>
      </c>
      <c r="T976" t="s">
        <v>199</v>
      </c>
      <c r="U976">
        <v>8.4802829999999996E-2</v>
      </c>
      <c r="V976" t="s">
        <v>226</v>
      </c>
      <c r="W976">
        <v>6.3708050000000002E-2</v>
      </c>
    </row>
    <row r="977" spans="1:23" x14ac:dyDescent="0.25">
      <c r="A977" s="3" t="str">
        <f>HYPERLINK("http://ids.si.edu/ids/deliveryService?id=NMAH-AHB2014q066442","NMAH-AHB2014q066442")</f>
        <v>NMAH-AHB2014q066442</v>
      </c>
      <c r="B977" s="3" t="s">
        <v>2398</v>
      </c>
      <c r="C977" s="3">
        <v>315244</v>
      </c>
      <c r="D977" s="3" t="s">
        <v>797</v>
      </c>
      <c r="E977" s="4" t="s">
        <v>146</v>
      </c>
      <c r="F977" t="s">
        <v>147</v>
      </c>
      <c r="G977">
        <v>0.75440406799316406</v>
      </c>
      <c r="H977" t="s">
        <v>1578</v>
      </c>
      <c r="I977">
        <v>0.52662551403045654</v>
      </c>
      <c r="L977" t="s">
        <v>184</v>
      </c>
      <c r="M977">
        <v>0.46354406999999997</v>
      </c>
      <c r="N977" t="s">
        <v>673</v>
      </c>
      <c r="O977">
        <v>0.20237651000000001</v>
      </c>
      <c r="P977" t="s">
        <v>390</v>
      </c>
      <c r="Q977" s="4">
        <v>5.9276852999999997E-2</v>
      </c>
      <c r="R977" t="s">
        <v>185</v>
      </c>
      <c r="S977">
        <v>0.28281125000000001</v>
      </c>
      <c r="T977" t="s">
        <v>148</v>
      </c>
      <c r="U977">
        <v>0.23769804999999999</v>
      </c>
      <c r="V977" t="s">
        <v>151</v>
      </c>
      <c r="W977">
        <v>4.0079961999999997E-2</v>
      </c>
    </row>
    <row r="978" spans="1:23" x14ac:dyDescent="0.25">
      <c r="A978" s="3" t="str">
        <f>HYPERLINK("http://ids.si.edu/ids/deliveryService?id=NMAH-AHB2013q102453","NMAH-AHB2013q102453")</f>
        <v>NMAH-AHB2013q102453</v>
      </c>
      <c r="B978" s="3" t="s">
        <v>2399</v>
      </c>
      <c r="C978" s="3">
        <v>310618</v>
      </c>
      <c r="D978" s="3" t="s">
        <v>797</v>
      </c>
      <c r="E978" s="4" t="s">
        <v>826</v>
      </c>
      <c r="F978" t="s">
        <v>188</v>
      </c>
      <c r="G978">
        <v>0.61625415086746216</v>
      </c>
      <c r="H978" t="s">
        <v>2400</v>
      </c>
      <c r="I978">
        <v>0.53151476383209229</v>
      </c>
      <c r="J978" t="s">
        <v>38</v>
      </c>
      <c r="K978" s="4">
        <v>0.50473684072494507</v>
      </c>
      <c r="L978" t="s">
        <v>365</v>
      </c>
      <c r="M978">
        <v>0.18507770000000001</v>
      </c>
      <c r="N978" t="s">
        <v>1093</v>
      </c>
      <c r="O978">
        <v>0.112991676</v>
      </c>
      <c r="P978" t="s">
        <v>2401</v>
      </c>
      <c r="Q978" s="4">
        <v>4.2791795000000001E-2</v>
      </c>
      <c r="R978" t="s">
        <v>829</v>
      </c>
      <c r="S978">
        <v>0.1893862</v>
      </c>
      <c r="T978" t="s">
        <v>159</v>
      </c>
      <c r="U978">
        <v>0.14816341999999999</v>
      </c>
      <c r="V978" t="s">
        <v>66</v>
      </c>
      <c r="W978">
        <v>0.12515037000000001</v>
      </c>
    </row>
    <row r="979" spans="1:23" x14ac:dyDescent="0.25">
      <c r="A979" s="3" t="str">
        <f>HYPERLINK("http://ids.si.edu/ids/deliveryService?id=NMAH-AHB2013q093767","NMAH-AHB2013q093767")</f>
        <v>NMAH-AHB2013q093767</v>
      </c>
      <c r="B979" s="3" t="s">
        <v>2402</v>
      </c>
      <c r="C979" s="3">
        <v>309158</v>
      </c>
      <c r="D979" s="3" t="s">
        <v>797</v>
      </c>
      <c r="E979" s="4" t="s">
        <v>931</v>
      </c>
      <c r="F979" t="s">
        <v>2403</v>
      </c>
      <c r="G979">
        <v>0.90917938947677612</v>
      </c>
      <c r="H979" t="s">
        <v>1108</v>
      </c>
      <c r="I979">
        <v>0.84958565235137939</v>
      </c>
      <c r="J979" t="s">
        <v>62</v>
      </c>
      <c r="K979" s="4">
        <v>0.5813031792640686</v>
      </c>
      <c r="L979" t="s">
        <v>1627</v>
      </c>
      <c r="M979">
        <v>0.1882839</v>
      </c>
      <c r="N979" t="s">
        <v>2404</v>
      </c>
      <c r="O979">
        <v>0.15436760999999999</v>
      </c>
      <c r="P979" t="s">
        <v>2405</v>
      </c>
      <c r="Q979" s="4">
        <v>0.13182685999999999</v>
      </c>
      <c r="R979" t="s">
        <v>93</v>
      </c>
      <c r="S979">
        <v>9.9194610000000003E-2</v>
      </c>
      <c r="T979" t="s">
        <v>151</v>
      </c>
      <c r="U979">
        <v>8.01592E-2</v>
      </c>
      <c r="V979" t="s">
        <v>66</v>
      </c>
      <c r="W979">
        <v>4.5131993000000002E-2</v>
      </c>
    </row>
    <row r="980" spans="1:23" x14ac:dyDescent="0.25">
      <c r="A980" s="3" t="str">
        <f>HYPERLINK("http://ids.si.edu/ids/deliveryService?id=NMAH-AHB2017q030822","NMAH-AHB2017q030822")</f>
        <v>NMAH-AHB2017q030822</v>
      </c>
      <c r="B980" s="3" t="s">
        <v>2406</v>
      </c>
      <c r="C980" s="3">
        <v>586426</v>
      </c>
      <c r="D980" s="3" t="s">
        <v>797</v>
      </c>
      <c r="E980" s="4" t="s">
        <v>30</v>
      </c>
      <c r="F980" t="s">
        <v>837</v>
      </c>
      <c r="G980">
        <v>0.81432384252548218</v>
      </c>
      <c r="H980" t="s">
        <v>917</v>
      </c>
      <c r="I980">
        <v>0.77340543270111084</v>
      </c>
      <c r="J980" t="s">
        <v>832</v>
      </c>
      <c r="K980" s="4">
        <v>0.75131750106811523</v>
      </c>
      <c r="L980" t="s">
        <v>821</v>
      </c>
      <c r="M980">
        <v>0.24966556000000001</v>
      </c>
      <c r="N980" t="s">
        <v>30</v>
      </c>
      <c r="O980">
        <v>0.18533195999999999</v>
      </c>
      <c r="P980" t="s">
        <v>923</v>
      </c>
      <c r="Q980" s="4">
        <v>0.13837293000000001</v>
      </c>
      <c r="R980" t="s">
        <v>30</v>
      </c>
      <c r="S980">
        <v>0.53548395999999998</v>
      </c>
      <c r="T980" t="s">
        <v>464</v>
      </c>
      <c r="U980">
        <v>8.645274E-2</v>
      </c>
      <c r="V980" t="s">
        <v>821</v>
      </c>
      <c r="W980">
        <v>8.0682464000000009E-2</v>
      </c>
    </row>
    <row r="981" spans="1:23" x14ac:dyDescent="0.25">
      <c r="A981" s="3" t="str">
        <f>HYPERLINK("http://ids.si.edu/ids/deliveryService?id=NMAH-AHB2014q102597","NMAH-AHB2014q102597")</f>
        <v>NMAH-AHB2014q102597</v>
      </c>
      <c r="B981" s="3" t="s">
        <v>2407</v>
      </c>
      <c r="C981" s="3">
        <v>572407</v>
      </c>
      <c r="D981" s="3" t="s">
        <v>797</v>
      </c>
      <c r="E981" s="4" t="s">
        <v>2408</v>
      </c>
      <c r="F981" t="s">
        <v>799</v>
      </c>
      <c r="G981">
        <v>0.96331924200057983</v>
      </c>
      <c r="H981" t="s">
        <v>497</v>
      </c>
      <c r="I981">
        <v>0.94440293312072754</v>
      </c>
      <c r="J981" t="s">
        <v>1232</v>
      </c>
      <c r="K981" s="4">
        <v>0.88866734504699707</v>
      </c>
      <c r="L981" t="s">
        <v>897</v>
      </c>
      <c r="M981">
        <v>0.15646571000000001</v>
      </c>
      <c r="N981" t="s">
        <v>392</v>
      </c>
      <c r="O981">
        <v>0.11893276</v>
      </c>
      <c r="P981" t="s">
        <v>848</v>
      </c>
      <c r="Q981" s="4">
        <v>9.0463479999999999E-2</v>
      </c>
      <c r="R981" t="s">
        <v>159</v>
      </c>
      <c r="S981">
        <v>0.34296668000000002</v>
      </c>
      <c r="T981" t="s">
        <v>813</v>
      </c>
      <c r="U981">
        <v>0.18596624</v>
      </c>
      <c r="V981" t="s">
        <v>678</v>
      </c>
      <c r="W981">
        <v>6.5743305000000002E-2</v>
      </c>
    </row>
    <row r="982" spans="1:23" x14ac:dyDescent="0.25">
      <c r="A982" s="3" t="str">
        <f>HYPERLINK("http://ids.si.edu/ids/deliveryService?id=NMAH-AHB2013q092208","NMAH-AHB2013q092208")</f>
        <v>NMAH-AHB2013q092208</v>
      </c>
      <c r="B982" s="3" t="s">
        <v>2409</v>
      </c>
      <c r="C982" s="3">
        <v>323737</v>
      </c>
      <c r="D982" s="3" t="s">
        <v>797</v>
      </c>
      <c r="E982" s="4" t="s">
        <v>881</v>
      </c>
      <c r="F982" t="s">
        <v>140</v>
      </c>
      <c r="G982">
        <v>0.505848228931427</v>
      </c>
      <c r="L982" t="s">
        <v>83</v>
      </c>
      <c r="M982">
        <v>0.63143044999999998</v>
      </c>
      <c r="N982" t="s">
        <v>52</v>
      </c>
      <c r="O982">
        <v>0.18131650999999999</v>
      </c>
      <c r="P982" t="s">
        <v>879</v>
      </c>
      <c r="Q982" s="4">
        <v>5.3605849999999997E-2</v>
      </c>
      <c r="R982" t="s">
        <v>389</v>
      </c>
      <c r="S982">
        <v>0.16601925000000001</v>
      </c>
      <c r="T982" t="s">
        <v>84</v>
      </c>
      <c r="U982">
        <v>0.15691741000000001</v>
      </c>
      <c r="V982" t="s">
        <v>141</v>
      </c>
      <c r="W982">
        <v>0.14979191</v>
      </c>
    </row>
    <row r="983" spans="1:23" x14ac:dyDescent="0.25">
      <c r="A983" s="3" t="str">
        <f>HYPERLINK("http://ids.si.edu/ids/deliveryService?id=NMAH-AHB2013q080420","NMAH-AHB2013q080420")</f>
        <v>NMAH-AHB2013q080420</v>
      </c>
      <c r="B983" s="3" t="s">
        <v>2410</v>
      </c>
      <c r="C983" s="3">
        <v>301623</v>
      </c>
      <c r="D983" s="3" t="s">
        <v>797</v>
      </c>
      <c r="E983" s="4" t="s">
        <v>2411</v>
      </c>
      <c r="F983" t="s">
        <v>991</v>
      </c>
      <c r="G983">
        <v>0.61171829700469971</v>
      </c>
      <c r="L983" t="s">
        <v>706</v>
      </c>
      <c r="M983">
        <v>0.32546397999999999</v>
      </c>
      <c r="N983" t="s">
        <v>175</v>
      </c>
      <c r="O983">
        <v>0.21854138000000001</v>
      </c>
      <c r="P983" t="s">
        <v>159</v>
      </c>
      <c r="Q983" s="4">
        <v>0.13394043999999999</v>
      </c>
      <c r="R983" t="s">
        <v>175</v>
      </c>
      <c r="S983">
        <v>0.27835584000000002</v>
      </c>
      <c r="T983" t="s">
        <v>706</v>
      </c>
      <c r="U983">
        <v>0.16508576</v>
      </c>
      <c r="V983" t="s">
        <v>765</v>
      </c>
      <c r="W983">
        <v>0.1038645</v>
      </c>
    </row>
    <row r="984" spans="1:23" x14ac:dyDescent="0.25">
      <c r="A984" s="3" t="str">
        <f>HYPERLINK("http://ids.si.edu/ids/deliveryService?id=NMAH-AHB2014q069875","NMAH-AHB2014q069875")</f>
        <v>NMAH-AHB2014q069875</v>
      </c>
      <c r="B984" s="3" t="s">
        <v>2412</v>
      </c>
      <c r="C984" s="3">
        <v>867291</v>
      </c>
      <c r="D984" s="3" t="s">
        <v>797</v>
      </c>
      <c r="E984" s="4" t="s">
        <v>891</v>
      </c>
      <c r="F984" t="s">
        <v>328</v>
      </c>
      <c r="G984">
        <v>0.61457157135009766</v>
      </c>
      <c r="L984" t="s">
        <v>84</v>
      </c>
      <c r="M984">
        <v>0.58375686000000004</v>
      </c>
      <c r="N984" t="s">
        <v>82</v>
      </c>
      <c r="O984">
        <v>0.17463820999999999</v>
      </c>
      <c r="P984" t="s">
        <v>239</v>
      </c>
      <c r="Q984" s="4">
        <v>2.1210441E-2</v>
      </c>
      <c r="R984" t="s">
        <v>84</v>
      </c>
      <c r="S984">
        <v>0.70422119999999999</v>
      </c>
      <c r="T984" t="s">
        <v>82</v>
      </c>
      <c r="U984">
        <v>8.1856449999999997E-2</v>
      </c>
      <c r="V984" t="s">
        <v>329</v>
      </c>
      <c r="W984">
        <v>3.9254412000000002E-2</v>
      </c>
    </row>
    <row r="985" spans="1:23" x14ac:dyDescent="0.25">
      <c r="A985" s="3" t="str">
        <f>HYPERLINK("http://ids.si.edu/ids/deliveryService?id=NMAH-AHB2017q033241","NMAH-AHB2017q033241")</f>
        <v>NMAH-AHB2017q033241</v>
      </c>
      <c r="B985" s="3" t="s">
        <v>2413</v>
      </c>
      <c r="C985" s="3">
        <v>582494</v>
      </c>
      <c r="D985" s="3" t="s">
        <v>797</v>
      </c>
      <c r="E985" s="4" t="s">
        <v>2414</v>
      </c>
      <c r="F985" t="s">
        <v>506</v>
      </c>
      <c r="G985">
        <v>0.97249060869216919</v>
      </c>
      <c r="H985" t="s">
        <v>832</v>
      </c>
      <c r="I985">
        <v>0.88960456848144531</v>
      </c>
      <c r="J985" t="s">
        <v>1578</v>
      </c>
      <c r="K985" s="4">
        <v>0.86891859769821167</v>
      </c>
      <c r="L985" t="s">
        <v>2415</v>
      </c>
      <c r="M985">
        <v>0.49465390000000009</v>
      </c>
      <c r="N985" t="s">
        <v>820</v>
      </c>
      <c r="O985">
        <v>9.3152929999999995E-2</v>
      </c>
      <c r="P985" t="s">
        <v>2416</v>
      </c>
      <c r="Q985" s="4">
        <v>3.5603414999999999E-2</v>
      </c>
      <c r="R985" t="s">
        <v>820</v>
      </c>
      <c r="S985">
        <v>0.30264613000000001</v>
      </c>
      <c r="T985" t="s">
        <v>2417</v>
      </c>
      <c r="U985">
        <v>8.6456240000000004E-2</v>
      </c>
      <c r="V985" t="s">
        <v>364</v>
      </c>
      <c r="W985">
        <v>8.2598279999999996E-2</v>
      </c>
    </row>
    <row r="986" spans="1:23" x14ac:dyDescent="0.25">
      <c r="A986" s="3" t="str">
        <f>HYPERLINK("http://ids.si.edu/ids/deliveryService?id=NMAH-AHB2014q054070","NMAH-AHB2014q054070")</f>
        <v>NMAH-AHB2014q054070</v>
      </c>
      <c r="B986" s="3" t="s">
        <v>2418</v>
      </c>
      <c r="C986" s="3">
        <v>310671</v>
      </c>
      <c r="D986" s="3" t="s">
        <v>797</v>
      </c>
      <c r="E986" s="4" t="s">
        <v>2419</v>
      </c>
      <c r="F986" t="s">
        <v>91</v>
      </c>
      <c r="G986">
        <v>0.94139593839645386</v>
      </c>
      <c r="H986" t="s">
        <v>856</v>
      </c>
      <c r="I986">
        <v>0.84763616323471069</v>
      </c>
      <c r="J986" t="s">
        <v>50</v>
      </c>
      <c r="K986" s="4">
        <v>0.6591346263885498</v>
      </c>
      <c r="L986" t="s">
        <v>1013</v>
      </c>
      <c r="M986">
        <v>0.40069008</v>
      </c>
      <c r="N986" t="s">
        <v>1981</v>
      </c>
      <c r="O986">
        <v>0.19970267</v>
      </c>
      <c r="P986" t="s">
        <v>918</v>
      </c>
      <c r="Q986" s="4">
        <v>0.1308531</v>
      </c>
      <c r="R986" t="s">
        <v>1013</v>
      </c>
      <c r="S986">
        <v>0.74771935</v>
      </c>
      <c r="T986" t="s">
        <v>364</v>
      </c>
      <c r="U986">
        <v>0.1431327</v>
      </c>
      <c r="V986" t="s">
        <v>86</v>
      </c>
      <c r="W986">
        <v>1.2083994000000001E-2</v>
      </c>
    </row>
    <row r="987" spans="1:23" x14ac:dyDescent="0.25">
      <c r="A987" s="3" t="str">
        <f>HYPERLINK("http://ids.si.edu/ids/deliveryService?id=NMAH-AHB2013q090977","NMAH-AHB2013q090977")</f>
        <v>NMAH-AHB2013q090977</v>
      </c>
      <c r="B987" s="3" t="s">
        <v>2420</v>
      </c>
      <c r="C987" s="3">
        <v>321024</v>
      </c>
      <c r="D987" s="3" t="s">
        <v>797</v>
      </c>
      <c r="E987" s="4" t="s">
        <v>850</v>
      </c>
      <c r="F987" t="s">
        <v>2421</v>
      </c>
      <c r="G987">
        <v>0.6535002589225769</v>
      </c>
      <c r="H987" t="s">
        <v>2422</v>
      </c>
      <c r="I987">
        <v>0.58961009979248047</v>
      </c>
      <c r="L987" t="s">
        <v>158</v>
      </c>
      <c r="M987">
        <v>8.1398349999999994E-2</v>
      </c>
      <c r="N987" t="s">
        <v>151</v>
      </c>
      <c r="O987">
        <v>7.453810000000001E-2</v>
      </c>
      <c r="P987" t="s">
        <v>83</v>
      </c>
      <c r="Q987" s="4">
        <v>4.6660255999999997E-2</v>
      </c>
      <c r="R987" t="s">
        <v>66</v>
      </c>
      <c r="S987">
        <v>0.14239996999999999</v>
      </c>
      <c r="T987" t="s">
        <v>158</v>
      </c>
      <c r="U987">
        <v>0.12085391600000001</v>
      </c>
      <c r="V987" t="s">
        <v>83</v>
      </c>
      <c r="W987">
        <v>0.11139792</v>
      </c>
    </row>
    <row r="988" spans="1:23" x14ac:dyDescent="0.25">
      <c r="A988" s="3" t="str">
        <f>HYPERLINK("http://ids.si.edu/ids/deliveryService?id=NMAH-AHB2013q080211","NMAH-AHB2013q080211")</f>
        <v>NMAH-AHB2013q080211</v>
      </c>
      <c r="B988" s="3" t="s">
        <v>2423</v>
      </c>
      <c r="C988" s="3">
        <v>1445564</v>
      </c>
      <c r="D988" s="3" t="s">
        <v>797</v>
      </c>
      <c r="E988" s="4" t="s">
        <v>322</v>
      </c>
      <c r="F988" t="s">
        <v>882</v>
      </c>
      <c r="G988">
        <v>0.87388497591018677</v>
      </c>
      <c r="H988" t="s">
        <v>816</v>
      </c>
      <c r="I988">
        <v>0.77391701936721802</v>
      </c>
      <c r="J988" t="s">
        <v>328</v>
      </c>
      <c r="K988" s="4">
        <v>0.63498383760452271</v>
      </c>
      <c r="L988" t="s">
        <v>83</v>
      </c>
      <c r="M988">
        <v>0.70161470000000004</v>
      </c>
      <c r="N988" t="s">
        <v>84</v>
      </c>
      <c r="O988">
        <v>6.7060519999999998E-2</v>
      </c>
      <c r="P988" t="s">
        <v>175</v>
      </c>
      <c r="Q988" s="4">
        <v>5.2294023000000002E-2</v>
      </c>
      <c r="R988" t="s">
        <v>83</v>
      </c>
      <c r="S988">
        <v>0.62104784999999996</v>
      </c>
      <c r="T988" t="s">
        <v>84</v>
      </c>
      <c r="U988">
        <v>5.6086904999999999E-2</v>
      </c>
      <c r="V988" t="s">
        <v>495</v>
      </c>
      <c r="W988">
        <v>4.0392879999999999E-2</v>
      </c>
    </row>
    <row r="989" spans="1:23" x14ac:dyDescent="0.25">
      <c r="A989" s="3" t="str">
        <f>HYPERLINK("http://ids.si.edu/ids/deliveryService?id=NMAH-AHB2017q094445","NMAH-AHB2017q094445")</f>
        <v>NMAH-AHB2017q094445</v>
      </c>
      <c r="B989" s="3" t="s">
        <v>2424</v>
      </c>
      <c r="C989" s="3">
        <v>589283</v>
      </c>
      <c r="D989" s="3" t="s">
        <v>797</v>
      </c>
      <c r="E989" s="4" t="s">
        <v>2425</v>
      </c>
      <c r="F989" t="s">
        <v>112</v>
      </c>
      <c r="G989">
        <v>0.68572378158569336</v>
      </c>
      <c r="H989" t="s">
        <v>196</v>
      </c>
      <c r="I989">
        <v>0.60097980499267578</v>
      </c>
      <c r="L989" t="s">
        <v>801</v>
      </c>
      <c r="M989">
        <v>0.27452028000000001</v>
      </c>
      <c r="N989" t="s">
        <v>190</v>
      </c>
      <c r="O989">
        <v>0.16508919999999999</v>
      </c>
      <c r="P989" t="s">
        <v>151</v>
      </c>
      <c r="Q989" s="4">
        <v>8.5557019999999998E-2</v>
      </c>
      <c r="R989" t="s">
        <v>190</v>
      </c>
      <c r="S989">
        <v>0.10217641</v>
      </c>
      <c r="T989" t="s">
        <v>1438</v>
      </c>
      <c r="U989">
        <v>6.8229794999999996E-2</v>
      </c>
      <c r="V989" t="s">
        <v>151</v>
      </c>
      <c r="W989">
        <v>6.6567689999999999E-2</v>
      </c>
    </row>
    <row r="990" spans="1:23" x14ac:dyDescent="0.25">
      <c r="A990" s="3" t="str">
        <f>HYPERLINK("http://ids.si.edu/ids/deliveryService?id=NMAH-AHB2013q092245","NMAH-AHB2013q092245")</f>
        <v>NMAH-AHB2013q092245</v>
      </c>
      <c r="B990" s="3" t="s">
        <v>2426</v>
      </c>
      <c r="C990" s="3">
        <v>324038</v>
      </c>
      <c r="D990" s="3" t="s">
        <v>797</v>
      </c>
      <c r="E990" s="4" t="s">
        <v>2427</v>
      </c>
      <c r="F990" t="s">
        <v>328</v>
      </c>
      <c r="G990">
        <v>0.68730545043945313</v>
      </c>
      <c r="H990" t="s">
        <v>882</v>
      </c>
      <c r="I990">
        <v>0.6436883807182312</v>
      </c>
      <c r="J990" t="s">
        <v>816</v>
      </c>
      <c r="K990" s="4">
        <v>0.61914259195327759</v>
      </c>
      <c r="L990" t="s">
        <v>83</v>
      </c>
      <c r="M990">
        <v>0.91711604999999996</v>
      </c>
      <c r="N990" t="s">
        <v>84</v>
      </c>
      <c r="O990">
        <v>2.0460882999999999E-2</v>
      </c>
      <c r="P990" t="s">
        <v>369</v>
      </c>
      <c r="Q990" s="4">
        <v>9.7277040000000002E-3</v>
      </c>
      <c r="R990" t="s">
        <v>1093</v>
      </c>
      <c r="S990">
        <v>0.1642007</v>
      </c>
      <c r="T990" t="s">
        <v>83</v>
      </c>
      <c r="U990">
        <v>0.10677307</v>
      </c>
      <c r="V990" t="s">
        <v>141</v>
      </c>
      <c r="W990">
        <v>8.8285559999999999E-2</v>
      </c>
    </row>
    <row r="991" spans="1:23" x14ac:dyDescent="0.25">
      <c r="A991" s="3" t="str">
        <f>HYPERLINK("http://ids.si.edu/ids/deliveryService?id=NMAH-RWS2016-08998","NMAH-RWS2016-08998")</f>
        <v>NMAH-RWS2016-08998</v>
      </c>
      <c r="B991" s="3" t="s">
        <v>2428</v>
      </c>
      <c r="C991" s="3">
        <v>326094</v>
      </c>
      <c r="D991" s="3" t="s">
        <v>797</v>
      </c>
      <c r="E991" s="4" t="s">
        <v>803</v>
      </c>
      <c r="F991" t="s">
        <v>264</v>
      </c>
      <c r="G991">
        <v>0.93932998180389404</v>
      </c>
      <c r="H991" t="s">
        <v>62</v>
      </c>
      <c r="I991">
        <v>0.81325769424438477</v>
      </c>
      <c r="J991" t="s">
        <v>39</v>
      </c>
      <c r="K991" s="4">
        <v>0.7179417610168457</v>
      </c>
      <c r="L991" t="s">
        <v>79</v>
      </c>
      <c r="M991">
        <v>0.37968400000000002</v>
      </c>
      <c r="N991" t="s">
        <v>65</v>
      </c>
      <c r="O991">
        <v>0.18778449999999999</v>
      </c>
      <c r="P991" t="s">
        <v>379</v>
      </c>
      <c r="Q991" s="4">
        <v>5.1357258000000003E-2</v>
      </c>
      <c r="R991" t="s">
        <v>65</v>
      </c>
      <c r="S991">
        <v>0.18040872999999999</v>
      </c>
      <c r="T991" t="s">
        <v>2429</v>
      </c>
      <c r="U991">
        <v>0.12563247999999999</v>
      </c>
      <c r="V991" t="s">
        <v>379</v>
      </c>
      <c r="W991">
        <v>9.6381729999999999E-2</v>
      </c>
    </row>
    <row r="992" spans="1:23" x14ac:dyDescent="0.25">
      <c r="A992" s="3" t="str">
        <f>HYPERLINK("http://ids.si.edu/ids/deliveryService?id=NMAH-AHB2013q089742","NMAH-AHB2013q089742")</f>
        <v>NMAH-AHB2013q089742</v>
      </c>
      <c r="B992" s="3" t="s">
        <v>2430</v>
      </c>
      <c r="C992" s="3">
        <v>303523</v>
      </c>
      <c r="D992" s="3" t="s">
        <v>797</v>
      </c>
      <c r="E992" s="4" t="s">
        <v>834</v>
      </c>
      <c r="F992" t="s">
        <v>907</v>
      </c>
      <c r="G992">
        <v>0.84621751308441162</v>
      </c>
      <c r="H992" t="s">
        <v>816</v>
      </c>
      <c r="I992">
        <v>0.77916532754898071</v>
      </c>
      <c r="J992" t="s">
        <v>809</v>
      </c>
      <c r="K992" s="4">
        <v>0.71857863664627075</v>
      </c>
      <c r="L992" t="s">
        <v>185</v>
      </c>
      <c r="M992">
        <v>0.19268716999999999</v>
      </c>
      <c r="N992" t="s">
        <v>83</v>
      </c>
      <c r="O992">
        <v>0.19077622999999999</v>
      </c>
      <c r="P992" t="s">
        <v>84</v>
      </c>
      <c r="Q992" s="4">
        <v>0.13918633999999999</v>
      </c>
      <c r="R992" t="s">
        <v>260</v>
      </c>
      <c r="S992">
        <v>0.10360258</v>
      </c>
      <c r="T992" t="s">
        <v>151</v>
      </c>
      <c r="U992">
        <v>0.10343682</v>
      </c>
      <c r="V992" t="s">
        <v>495</v>
      </c>
      <c r="W992">
        <v>0.10006451600000001</v>
      </c>
    </row>
    <row r="993" spans="1:23" x14ac:dyDescent="0.25">
      <c r="A993" s="3" t="str">
        <f>HYPERLINK("http://ids.si.edu/ids/deliveryService?id=NMAH-AHB2017q036390","NMAH-AHB2017q036390")</f>
        <v>NMAH-AHB2017q036390</v>
      </c>
      <c r="B993" s="3" t="s">
        <v>2431</v>
      </c>
      <c r="C993" s="3">
        <v>577229</v>
      </c>
      <c r="D993" s="3" t="s">
        <v>797</v>
      </c>
      <c r="E993" s="4" t="s">
        <v>895</v>
      </c>
      <c r="F993" t="s">
        <v>832</v>
      </c>
      <c r="G993">
        <v>0.9771273136138916</v>
      </c>
      <c r="H993" t="s">
        <v>799</v>
      </c>
      <c r="I993">
        <v>0.97433549165725708</v>
      </c>
      <c r="J993" t="s">
        <v>1006</v>
      </c>
      <c r="K993" s="4">
        <v>0.92388921976089478</v>
      </c>
      <c r="L993" t="s">
        <v>392</v>
      </c>
      <c r="M993">
        <v>0.78668344000000001</v>
      </c>
      <c r="N993" t="s">
        <v>847</v>
      </c>
      <c r="O993">
        <v>2.0820149999999999E-2</v>
      </c>
      <c r="P993" t="s">
        <v>30</v>
      </c>
      <c r="Q993" s="4">
        <v>2.0381403999999999E-2</v>
      </c>
      <c r="R993" t="s">
        <v>678</v>
      </c>
      <c r="S993">
        <v>0.14113655999999999</v>
      </c>
      <c r="T993" t="s">
        <v>1093</v>
      </c>
      <c r="U993">
        <v>5.7095934000000001E-2</v>
      </c>
      <c r="V993" t="s">
        <v>30</v>
      </c>
      <c r="W993">
        <v>5.0518966999999998E-2</v>
      </c>
    </row>
    <row r="994" spans="1:23" x14ac:dyDescent="0.25">
      <c r="A994" s="3" t="str">
        <f>HYPERLINK("http://ids.si.edu/ids/deliveryService?id=NMAH-AHB2014q055052","NMAH-AHB2014q055052")</f>
        <v>NMAH-AHB2014q055052</v>
      </c>
      <c r="B994" s="3" t="s">
        <v>2432</v>
      </c>
      <c r="C994" s="3">
        <v>309727</v>
      </c>
      <c r="D994" s="3" t="s">
        <v>797</v>
      </c>
      <c r="E994" s="4" t="s">
        <v>2433</v>
      </c>
      <c r="F994" t="s">
        <v>91</v>
      </c>
      <c r="G994">
        <v>0.88283330202102661</v>
      </c>
      <c r="H994" t="s">
        <v>50</v>
      </c>
      <c r="I994">
        <v>0.5114516019821167</v>
      </c>
      <c r="L994" t="s">
        <v>239</v>
      </c>
      <c r="M994">
        <v>0.77147310000000002</v>
      </c>
      <c r="N994" t="s">
        <v>84</v>
      </c>
      <c r="O994">
        <v>3.1083752999999999E-2</v>
      </c>
      <c r="P994" t="s">
        <v>93</v>
      </c>
      <c r="Q994" s="4">
        <v>2.5498448E-2</v>
      </c>
      <c r="R994" t="s">
        <v>149</v>
      </c>
      <c r="S994">
        <v>0.52333593</v>
      </c>
      <c r="T994" t="s">
        <v>239</v>
      </c>
      <c r="U994">
        <v>9.3398205999999998E-2</v>
      </c>
      <c r="V994" t="s">
        <v>141</v>
      </c>
      <c r="W994">
        <v>3.2468030000000002E-2</v>
      </c>
    </row>
    <row r="995" spans="1:23" x14ac:dyDescent="0.25">
      <c r="A995" s="3" t="str">
        <f>HYPERLINK("http://ids.si.edu/ids/deliveryService?id=NMAH-AHB2013q094558","NMAH-AHB2013q094558")</f>
        <v>NMAH-AHB2013q094558</v>
      </c>
      <c r="B995" s="3" t="s">
        <v>2434</v>
      </c>
      <c r="C995" s="3">
        <v>312293</v>
      </c>
      <c r="D995" s="3" t="s">
        <v>797</v>
      </c>
      <c r="E995" s="4" t="s">
        <v>925</v>
      </c>
      <c r="F995" t="s">
        <v>281</v>
      </c>
      <c r="G995">
        <v>0.5920029878616333</v>
      </c>
      <c r="H995" t="s">
        <v>2435</v>
      </c>
      <c r="I995">
        <v>0.5349763035774231</v>
      </c>
      <c r="L995" t="s">
        <v>245</v>
      </c>
      <c r="M995">
        <v>0.14155258000000001</v>
      </c>
      <c r="N995" t="s">
        <v>173</v>
      </c>
      <c r="O995">
        <v>7.7922515999999997E-2</v>
      </c>
      <c r="P995" t="s">
        <v>2357</v>
      </c>
      <c r="Q995" s="4">
        <v>6.6767275000000001E-2</v>
      </c>
      <c r="R995" t="s">
        <v>2436</v>
      </c>
      <c r="S995">
        <v>0.16217118999999999</v>
      </c>
      <c r="T995" t="s">
        <v>32</v>
      </c>
      <c r="U995">
        <v>0.14972645000000001</v>
      </c>
      <c r="V995" t="s">
        <v>245</v>
      </c>
      <c r="W995">
        <v>7.293139400000001E-2</v>
      </c>
    </row>
    <row r="996" spans="1:23" x14ac:dyDescent="0.25">
      <c r="A996" s="3" t="str">
        <f>HYPERLINK("http://ids.si.edu/ids/deliveryService?id=NMAH-AHB2013q092157","NMAH-AHB2013q092157")</f>
        <v>NMAH-AHB2013q092157</v>
      </c>
      <c r="B996" s="3" t="s">
        <v>2437</v>
      </c>
      <c r="C996" s="3">
        <v>323969</v>
      </c>
      <c r="D996" s="3" t="s">
        <v>797</v>
      </c>
      <c r="E996" s="4" t="s">
        <v>2438</v>
      </c>
      <c r="F996" t="s">
        <v>907</v>
      </c>
      <c r="G996">
        <v>0.81386834383010864</v>
      </c>
      <c r="H996" t="s">
        <v>816</v>
      </c>
      <c r="I996">
        <v>0.78923380374908447</v>
      </c>
      <c r="J996" t="s">
        <v>328</v>
      </c>
      <c r="K996" s="4">
        <v>0.75850909948348999</v>
      </c>
      <c r="L996" t="s">
        <v>369</v>
      </c>
      <c r="M996">
        <v>0.23938091</v>
      </c>
      <c r="N996" t="s">
        <v>239</v>
      </c>
      <c r="O996">
        <v>0.14538556</v>
      </c>
      <c r="P996" t="s">
        <v>84</v>
      </c>
      <c r="Q996" s="4">
        <v>0.10344352599999999</v>
      </c>
      <c r="R996" t="s">
        <v>84</v>
      </c>
      <c r="S996">
        <v>0.14331515</v>
      </c>
      <c r="T996" t="s">
        <v>141</v>
      </c>
      <c r="U996">
        <v>8.3388604000000005E-2</v>
      </c>
      <c r="V996" t="s">
        <v>495</v>
      </c>
      <c r="W996">
        <v>5.5483665000000001E-2</v>
      </c>
    </row>
    <row r="997" spans="1:23" x14ac:dyDescent="0.25">
      <c r="A997" s="3" t="str">
        <f>HYPERLINK("http://ids.si.edu/ids/deliveryService?id=NMAH-AHB2014q101997","NMAH-AHB2014q101997")</f>
        <v>NMAH-AHB2014q101997</v>
      </c>
      <c r="B997" s="3" t="s">
        <v>2439</v>
      </c>
      <c r="C997" s="3">
        <v>571856</v>
      </c>
      <c r="D997" s="3" t="s">
        <v>797</v>
      </c>
      <c r="E997" s="4" t="s">
        <v>498</v>
      </c>
      <c r="F997" t="s">
        <v>91</v>
      </c>
      <c r="G997">
        <v>0.92529410123825073</v>
      </c>
      <c r="H997" t="s">
        <v>800</v>
      </c>
      <c r="I997">
        <v>0.63490617275238037</v>
      </c>
      <c r="J997" t="s">
        <v>574</v>
      </c>
      <c r="K997" s="4">
        <v>0.58619159460067749</v>
      </c>
      <c r="L997" t="s">
        <v>498</v>
      </c>
      <c r="M997">
        <v>0.23261149</v>
      </c>
      <c r="N997" t="s">
        <v>258</v>
      </c>
      <c r="O997">
        <v>0.102102846</v>
      </c>
      <c r="P997" t="s">
        <v>141</v>
      </c>
      <c r="Q997" s="4">
        <v>4.5907475000000003E-2</v>
      </c>
      <c r="R997" t="s">
        <v>261</v>
      </c>
      <c r="S997">
        <v>0.16932069999999999</v>
      </c>
      <c r="T997" t="s">
        <v>159</v>
      </c>
      <c r="U997">
        <v>0.12724566000000001</v>
      </c>
      <c r="V997" t="s">
        <v>765</v>
      </c>
      <c r="W997">
        <v>6.8601640000000005E-2</v>
      </c>
    </row>
    <row r="998" spans="1:23" x14ac:dyDescent="0.25">
      <c r="A998" s="3" t="str">
        <f>HYPERLINK("http://ids.si.edu/ids/deliveryService?id=NMAH-AHB2013q081902","NMAH-AHB2013q081902")</f>
        <v>NMAH-AHB2013q081902</v>
      </c>
      <c r="B998" s="3" t="s">
        <v>2440</v>
      </c>
      <c r="C998" s="3">
        <v>302219</v>
      </c>
      <c r="D998" s="3" t="s">
        <v>797</v>
      </c>
      <c r="E998" s="4" t="s">
        <v>850</v>
      </c>
      <c r="F998" t="s">
        <v>851</v>
      </c>
      <c r="G998">
        <v>0.96367400884628296</v>
      </c>
      <c r="H998" t="s">
        <v>816</v>
      </c>
      <c r="I998">
        <v>0.95432561635971069</v>
      </c>
      <c r="J998" t="s">
        <v>91</v>
      </c>
      <c r="K998" s="4">
        <v>0.91031128168106079</v>
      </c>
      <c r="L998" t="s">
        <v>498</v>
      </c>
      <c r="M998">
        <v>0.73708070000000003</v>
      </c>
      <c r="N998" t="s">
        <v>83</v>
      </c>
      <c r="O998">
        <v>0.16404481000000001</v>
      </c>
      <c r="P998" t="s">
        <v>157</v>
      </c>
      <c r="Q998" s="4">
        <v>2.7176898000000001E-2</v>
      </c>
      <c r="R998" t="s">
        <v>83</v>
      </c>
      <c r="S998">
        <v>0.81864659999999989</v>
      </c>
      <c r="T998" t="s">
        <v>159</v>
      </c>
      <c r="U998">
        <v>6.8815860000000006E-2</v>
      </c>
      <c r="V998" t="s">
        <v>498</v>
      </c>
      <c r="W998">
        <v>3.1114530000000001E-2</v>
      </c>
    </row>
    <row r="999" spans="1:23" x14ac:dyDescent="0.25">
      <c r="A999" s="3" t="str">
        <f>HYPERLINK("http://ids.si.edu/ids/deliveryService?id=NMAH-AHB2013q090178","NMAH-AHB2013q090178")</f>
        <v>NMAH-AHB2013q090178</v>
      </c>
      <c r="B999" s="3" t="s">
        <v>2441</v>
      </c>
      <c r="C999" s="3">
        <v>1449129</v>
      </c>
      <c r="D999" s="3" t="s">
        <v>797</v>
      </c>
      <c r="E999" s="4" t="s">
        <v>850</v>
      </c>
      <c r="F999" t="s">
        <v>851</v>
      </c>
      <c r="G999">
        <v>0.96606653928756714</v>
      </c>
      <c r="H999" t="s">
        <v>816</v>
      </c>
      <c r="I999">
        <v>0.93964594602584839</v>
      </c>
      <c r="J999" t="s">
        <v>809</v>
      </c>
      <c r="K999" s="4">
        <v>0.85598641633987427</v>
      </c>
      <c r="L999" t="s">
        <v>498</v>
      </c>
      <c r="M999">
        <v>0.54711309999999991</v>
      </c>
      <c r="N999" t="s">
        <v>83</v>
      </c>
      <c r="O999">
        <v>0.19437666000000001</v>
      </c>
      <c r="P999" t="s">
        <v>159</v>
      </c>
      <c r="Q999" s="4">
        <v>4.6760373000000001E-2</v>
      </c>
      <c r="R999" t="s">
        <v>83</v>
      </c>
      <c r="S999">
        <v>0.46197385000000002</v>
      </c>
      <c r="T999" t="s">
        <v>175</v>
      </c>
      <c r="U999">
        <v>0.10086063000000001</v>
      </c>
      <c r="V999" t="s">
        <v>157</v>
      </c>
      <c r="W999">
        <v>9.5784250000000001E-2</v>
      </c>
    </row>
    <row r="1000" spans="1:23" x14ac:dyDescent="0.25">
      <c r="A1000" s="3" t="str">
        <f>HYPERLINK("http://ids.si.edu/ids/deliveryService?id=NMAH-AHB2013q098044","NMAH-AHB2013q098044")</f>
        <v>NMAH-AHB2013q098044</v>
      </c>
      <c r="B1000" s="3" t="s">
        <v>2442</v>
      </c>
      <c r="C1000" s="3">
        <v>1452429</v>
      </c>
      <c r="D1000" s="3" t="s">
        <v>797</v>
      </c>
      <c r="E1000" s="4" t="s">
        <v>842</v>
      </c>
      <c r="F1000" t="s">
        <v>208</v>
      </c>
      <c r="G1000">
        <v>0.76717746257781982</v>
      </c>
      <c r="H1000" t="s">
        <v>1461</v>
      </c>
      <c r="I1000">
        <v>0.6456754207611084</v>
      </c>
      <c r="J1000" t="s">
        <v>301</v>
      </c>
      <c r="K1000" s="4">
        <v>0.59727400541305542</v>
      </c>
      <c r="L1000" t="s">
        <v>571</v>
      </c>
      <c r="M1000">
        <v>0.35716003000000002</v>
      </c>
      <c r="N1000" t="s">
        <v>66</v>
      </c>
      <c r="O1000">
        <v>0.10147544999999999</v>
      </c>
      <c r="P1000" t="s">
        <v>1098</v>
      </c>
      <c r="Q1000" s="4">
        <v>7.2881385999999992E-2</v>
      </c>
      <c r="R1000" t="s">
        <v>66</v>
      </c>
      <c r="S1000">
        <v>0.24825494000000001</v>
      </c>
      <c r="T1000" t="s">
        <v>141</v>
      </c>
      <c r="U1000">
        <v>5.5331048000000001E-2</v>
      </c>
      <c r="V1000" t="s">
        <v>628</v>
      </c>
      <c r="W1000">
        <v>4.2360193999999997E-2</v>
      </c>
    </row>
    <row r="1001" spans="1:23" x14ac:dyDescent="0.25">
      <c r="A1001" s="3" t="str">
        <f>HYPERLINK("http://ids.si.edu/ids/deliveryService?id=NMAH-JN2016-03348-000001","NMAH-JN2016-03348-000001")</f>
        <v>NMAH-JN2016-03348-000001</v>
      </c>
      <c r="B1001" s="3" t="s">
        <v>2443</v>
      </c>
      <c r="C1001" s="3">
        <v>315484</v>
      </c>
      <c r="D1001" s="3" t="s">
        <v>797</v>
      </c>
      <c r="E1001" s="4" t="s">
        <v>2444</v>
      </c>
      <c r="F1001" t="s">
        <v>38</v>
      </c>
      <c r="G1001">
        <v>0.68207275867462158</v>
      </c>
      <c r="H1001" t="s">
        <v>2445</v>
      </c>
      <c r="I1001">
        <v>0.58647918701171875</v>
      </c>
      <c r="L1001" t="s">
        <v>379</v>
      </c>
      <c r="M1001">
        <v>0.10571903000000001</v>
      </c>
      <c r="N1001" t="s">
        <v>43</v>
      </c>
      <c r="O1001">
        <v>9.2896654999999995E-2</v>
      </c>
      <c r="P1001" t="s">
        <v>45</v>
      </c>
      <c r="Q1001" s="4">
        <v>7.7408160000000004E-2</v>
      </c>
      <c r="R1001" t="s">
        <v>2429</v>
      </c>
      <c r="S1001">
        <v>0.12295494</v>
      </c>
      <c r="T1001" t="s">
        <v>678</v>
      </c>
      <c r="U1001">
        <v>3.7975173000000001E-2</v>
      </c>
      <c r="V1001" t="s">
        <v>330</v>
      </c>
      <c r="W1001">
        <v>2.8667941999999998E-2</v>
      </c>
    </row>
    <row r="1002" spans="1:23" x14ac:dyDescent="0.25">
      <c r="A1002" s="3" t="str">
        <f>HYPERLINK("http://ids.si.edu/ids/deliveryService?id=NMAH-AHB2014q061781","NMAH-AHB2014q061781")</f>
        <v>NMAH-AHB2014q061781</v>
      </c>
      <c r="B1002" s="3" t="s">
        <v>2446</v>
      </c>
      <c r="C1002" s="3">
        <v>1458899</v>
      </c>
      <c r="D1002" s="3" t="s">
        <v>797</v>
      </c>
      <c r="E1002" s="4" t="s">
        <v>1025</v>
      </c>
      <c r="F1002" t="s">
        <v>595</v>
      </c>
      <c r="G1002">
        <v>0.90971380472183228</v>
      </c>
      <c r="H1002" t="s">
        <v>50</v>
      </c>
      <c r="I1002">
        <v>0.88603556156158447</v>
      </c>
      <c r="J1002" t="s">
        <v>1738</v>
      </c>
      <c r="K1002" s="4">
        <v>0.87914192676544189</v>
      </c>
      <c r="L1002" t="s">
        <v>314</v>
      </c>
      <c r="M1002">
        <v>0.15614246000000001</v>
      </c>
      <c r="N1002" t="s">
        <v>620</v>
      </c>
      <c r="O1002">
        <v>0.13590728999999999</v>
      </c>
      <c r="P1002" t="s">
        <v>412</v>
      </c>
      <c r="Q1002" s="4">
        <v>8.6352183999999998E-2</v>
      </c>
      <c r="R1002" t="s">
        <v>314</v>
      </c>
      <c r="S1002">
        <v>0.20726426000000001</v>
      </c>
      <c r="T1002" t="s">
        <v>175</v>
      </c>
      <c r="U1002">
        <v>0.13333897</v>
      </c>
      <c r="V1002" t="s">
        <v>1803</v>
      </c>
      <c r="W1002">
        <v>7.2743130000000003E-2</v>
      </c>
    </row>
    <row r="1003" spans="1:23" x14ac:dyDescent="0.25">
      <c r="A1003" s="3" t="str">
        <f>HYPERLINK("http://ids.si.edu/ids/deliveryService?id=NMAH-AHB2014q061018","NMAH-AHB2014q061018")</f>
        <v>NMAH-AHB2014q061018</v>
      </c>
      <c r="B1003" s="3" t="s">
        <v>2447</v>
      </c>
      <c r="C1003" s="3">
        <v>301112</v>
      </c>
      <c r="D1003" s="3" t="s">
        <v>797</v>
      </c>
      <c r="E1003" s="4" t="s">
        <v>2448</v>
      </c>
      <c r="F1003" t="s">
        <v>2449</v>
      </c>
      <c r="G1003">
        <v>0.96448808908462524</v>
      </c>
      <c r="H1003" t="s">
        <v>2450</v>
      </c>
      <c r="I1003">
        <v>0.93375945091247559</v>
      </c>
      <c r="J1003" t="s">
        <v>50</v>
      </c>
      <c r="K1003" s="4">
        <v>0.84742951393127441</v>
      </c>
      <c r="L1003" t="s">
        <v>923</v>
      </c>
      <c r="M1003">
        <v>0.30467813999999999</v>
      </c>
      <c r="N1003" t="s">
        <v>416</v>
      </c>
      <c r="O1003">
        <v>0.15151212999999999</v>
      </c>
      <c r="P1003" t="s">
        <v>314</v>
      </c>
      <c r="Q1003" s="4">
        <v>8.8645390000000004E-2</v>
      </c>
      <c r="R1003" t="s">
        <v>923</v>
      </c>
      <c r="S1003">
        <v>0.33359575000000002</v>
      </c>
      <c r="T1003" t="s">
        <v>166</v>
      </c>
      <c r="U1003">
        <v>0.1634709</v>
      </c>
      <c r="V1003" t="s">
        <v>314</v>
      </c>
      <c r="W1003">
        <v>9.8390050000000007E-2</v>
      </c>
    </row>
    <row r="1004" spans="1:23" x14ac:dyDescent="0.25">
      <c r="A1004" s="3" t="str">
        <f>HYPERLINK("http://ids.si.edu/ids/deliveryService?id=NMAH-AHB2016q060584","NMAH-AHB2016q060584")</f>
        <v>NMAH-AHB2016q060584</v>
      </c>
      <c r="B1004" s="3" t="s">
        <v>2451</v>
      </c>
      <c r="C1004" s="3">
        <v>591574</v>
      </c>
      <c r="D1004" s="3" t="s">
        <v>797</v>
      </c>
      <c r="E1004" s="4" t="s">
        <v>2452</v>
      </c>
      <c r="F1004" t="s">
        <v>91</v>
      </c>
      <c r="G1004">
        <v>0.88283330202102661</v>
      </c>
      <c r="H1004" t="s">
        <v>256</v>
      </c>
      <c r="I1004">
        <v>0.59585320949554443</v>
      </c>
      <c r="J1004" t="s">
        <v>49</v>
      </c>
      <c r="K1004" s="4">
        <v>0.53763777017593384</v>
      </c>
      <c r="L1004" t="s">
        <v>239</v>
      </c>
      <c r="M1004">
        <v>0.32633135000000002</v>
      </c>
      <c r="N1004" t="s">
        <v>948</v>
      </c>
      <c r="O1004">
        <v>0.27721753999999998</v>
      </c>
      <c r="P1004" t="s">
        <v>1728</v>
      </c>
      <c r="Q1004" s="4">
        <v>8.1919329999999999E-2</v>
      </c>
      <c r="R1004" t="s">
        <v>363</v>
      </c>
      <c r="S1004">
        <v>0.45538104000000001</v>
      </c>
      <c r="T1004" t="s">
        <v>765</v>
      </c>
      <c r="U1004">
        <v>4.3647422999999998E-2</v>
      </c>
      <c r="V1004" t="s">
        <v>149</v>
      </c>
      <c r="W1004">
        <v>3.0989099999999999E-2</v>
      </c>
    </row>
    <row r="1005" spans="1:23" x14ac:dyDescent="0.25">
      <c r="A1005" s="3" t="str">
        <f>HYPERLINK("http://ids.si.edu/ids/deliveryService?id=NMAH-AHB2014q060583","NMAH-AHB2014q060583")</f>
        <v>NMAH-AHB2014q060583</v>
      </c>
      <c r="B1005" s="3" t="s">
        <v>2453</v>
      </c>
      <c r="C1005" s="3">
        <v>303430</v>
      </c>
      <c r="D1005" s="3" t="s">
        <v>797</v>
      </c>
      <c r="E1005" s="4" t="s">
        <v>984</v>
      </c>
      <c r="F1005" t="s">
        <v>1150</v>
      </c>
      <c r="G1005">
        <v>0.73776978254318237</v>
      </c>
      <c r="H1005" t="s">
        <v>846</v>
      </c>
      <c r="I1005">
        <v>0.68329799175262451</v>
      </c>
      <c r="J1005" t="s">
        <v>2454</v>
      </c>
      <c r="K1005" s="4">
        <v>0.64001172780990601</v>
      </c>
      <c r="L1005" t="s">
        <v>213</v>
      </c>
      <c r="M1005">
        <v>0.44980525999999998</v>
      </c>
      <c r="N1005" t="s">
        <v>1013</v>
      </c>
      <c r="O1005">
        <v>0.23763730999999999</v>
      </c>
      <c r="P1005" t="s">
        <v>1588</v>
      </c>
      <c r="Q1005" s="4">
        <v>4.2049330000000003E-2</v>
      </c>
      <c r="R1005" t="s">
        <v>1013</v>
      </c>
      <c r="S1005">
        <v>0.22748148000000001</v>
      </c>
      <c r="T1005" t="s">
        <v>213</v>
      </c>
      <c r="U1005">
        <v>0.14480841</v>
      </c>
      <c r="V1005" t="s">
        <v>86</v>
      </c>
      <c r="W1005">
        <v>0.10593571</v>
      </c>
    </row>
    <row r="1006" spans="1:23" x14ac:dyDescent="0.25">
      <c r="A1006" s="3" t="str">
        <f>HYPERLINK("http://ids.si.edu/ids/deliveryService?id=NMAH-2011-04458","NMAH-2011-04458")</f>
        <v>NMAH-2011-04458</v>
      </c>
      <c r="B1006" s="3" t="s">
        <v>2455</v>
      </c>
      <c r="C1006" s="3">
        <v>324704</v>
      </c>
      <c r="D1006" s="3" t="s">
        <v>797</v>
      </c>
      <c r="E1006" s="4" t="s">
        <v>803</v>
      </c>
      <c r="F1006" t="s">
        <v>264</v>
      </c>
      <c r="G1006">
        <v>0.81323796510696411</v>
      </c>
      <c r="H1006" t="s">
        <v>62</v>
      </c>
      <c r="I1006">
        <v>0.76117712259292603</v>
      </c>
      <c r="J1006" t="s">
        <v>525</v>
      </c>
      <c r="K1006" s="4">
        <v>0.72180265188217163</v>
      </c>
      <c r="L1006" t="s">
        <v>29</v>
      </c>
      <c r="M1006">
        <v>0.43046135000000002</v>
      </c>
      <c r="N1006" t="s">
        <v>65</v>
      </c>
      <c r="O1006">
        <v>0.35275146000000002</v>
      </c>
      <c r="P1006" t="s">
        <v>426</v>
      </c>
      <c r="Q1006" s="4">
        <v>2.9689513000000001E-2</v>
      </c>
      <c r="R1006" t="s">
        <v>29</v>
      </c>
      <c r="S1006">
        <v>0.46282879999999987</v>
      </c>
      <c r="T1006" t="s">
        <v>65</v>
      </c>
      <c r="U1006">
        <v>0.37973282000000003</v>
      </c>
      <c r="V1006" t="s">
        <v>144</v>
      </c>
      <c r="W1006">
        <v>7.0907205000000001E-2</v>
      </c>
    </row>
    <row r="1007" spans="1:23" x14ac:dyDescent="0.25">
      <c r="A1007" s="3" t="str">
        <f>HYPERLINK("http://ids.si.edu/ids/deliveryService?id=NMAH-AHB2017q092937","NMAH-AHB2017q092937")</f>
        <v>NMAH-AHB2017q092937</v>
      </c>
      <c r="B1007" s="3" t="s">
        <v>2456</v>
      </c>
      <c r="C1007" s="3">
        <v>595599</v>
      </c>
      <c r="D1007" s="3" t="s">
        <v>797</v>
      </c>
      <c r="E1007" s="4" t="s">
        <v>2457</v>
      </c>
      <c r="F1007" t="s">
        <v>574</v>
      </c>
      <c r="G1007">
        <v>0.83512371778488159</v>
      </c>
      <c r="H1007" t="s">
        <v>1162</v>
      </c>
      <c r="I1007">
        <v>0.78456425666809082</v>
      </c>
      <c r="J1007" t="s">
        <v>800</v>
      </c>
      <c r="K1007" s="4">
        <v>0.62238496541976929</v>
      </c>
      <c r="L1007" t="s">
        <v>312</v>
      </c>
      <c r="M1007">
        <v>0.21283984</v>
      </c>
      <c r="N1007" t="s">
        <v>984</v>
      </c>
      <c r="O1007">
        <v>0.13784578</v>
      </c>
      <c r="P1007" t="s">
        <v>30</v>
      </c>
      <c r="Q1007" s="4">
        <v>0.11838991</v>
      </c>
      <c r="R1007" t="s">
        <v>312</v>
      </c>
      <c r="S1007">
        <v>0.17568255999999999</v>
      </c>
      <c r="T1007" t="s">
        <v>364</v>
      </c>
      <c r="U1007">
        <v>0.11633145</v>
      </c>
      <c r="V1007" t="s">
        <v>1168</v>
      </c>
      <c r="W1007">
        <v>0.10679798</v>
      </c>
    </row>
    <row r="1008" spans="1:23" x14ac:dyDescent="0.25">
      <c r="A1008" s="3" t="str">
        <f>HYPERLINK("http://ids.si.edu/ids/deliveryService?id=NMAH-JN2016-03189-000001","NMAH-JN2016-03189-000001")</f>
        <v>NMAH-JN2016-03189-000001</v>
      </c>
      <c r="B1008" s="3" t="s">
        <v>2458</v>
      </c>
      <c r="C1008" s="3">
        <v>1406000</v>
      </c>
      <c r="D1008" s="3" t="s">
        <v>797</v>
      </c>
      <c r="E1008" s="4" t="s">
        <v>1000</v>
      </c>
      <c r="F1008" t="s">
        <v>832</v>
      </c>
      <c r="G1008">
        <v>0.97169047594070435</v>
      </c>
      <c r="H1008" t="s">
        <v>974</v>
      </c>
      <c r="I1008">
        <v>0.92067265510559082</v>
      </c>
      <c r="J1008" t="s">
        <v>809</v>
      </c>
      <c r="K1008" s="4">
        <v>0.90141010284423828</v>
      </c>
      <c r="L1008" t="s">
        <v>848</v>
      </c>
      <c r="M1008">
        <v>0.98037534999999998</v>
      </c>
      <c r="N1008" t="s">
        <v>897</v>
      </c>
      <c r="O1008">
        <v>7.8728050000000001E-3</v>
      </c>
      <c r="P1008" t="s">
        <v>86</v>
      </c>
      <c r="Q1008" s="4">
        <v>5.8648394999999999E-3</v>
      </c>
      <c r="R1008" t="s">
        <v>848</v>
      </c>
      <c r="S1008">
        <v>0.64841510000000002</v>
      </c>
      <c r="T1008" t="s">
        <v>897</v>
      </c>
      <c r="U1008">
        <v>0.13306701000000001</v>
      </c>
      <c r="V1008" t="s">
        <v>86</v>
      </c>
      <c r="W1008">
        <v>9.8297369999999995E-2</v>
      </c>
    </row>
    <row r="1009" spans="1:23" x14ac:dyDescent="0.25">
      <c r="A1009" s="3" t="str">
        <f>HYPERLINK("http://ids.si.edu/ids/deliveryService?id=NMAH-AHB2013q082976","NMAH-AHB2013q082976")</f>
        <v>NMAH-AHB2013q082976</v>
      </c>
      <c r="B1009" s="3" t="s">
        <v>2459</v>
      </c>
      <c r="C1009" s="3">
        <v>302618</v>
      </c>
      <c r="D1009" s="3" t="s">
        <v>797</v>
      </c>
      <c r="E1009" s="4" t="s">
        <v>850</v>
      </c>
      <c r="F1009" t="s">
        <v>851</v>
      </c>
      <c r="G1009">
        <v>0.96934854984283447</v>
      </c>
      <c r="H1009" t="s">
        <v>816</v>
      </c>
      <c r="I1009">
        <v>0.92313331365585327</v>
      </c>
      <c r="J1009" t="s">
        <v>91</v>
      </c>
      <c r="K1009" s="4">
        <v>0.88283330202102661</v>
      </c>
      <c r="L1009" t="s">
        <v>369</v>
      </c>
      <c r="M1009">
        <v>0.56776433999999998</v>
      </c>
      <c r="N1009" t="s">
        <v>1093</v>
      </c>
      <c r="O1009">
        <v>0.12557402000000001</v>
      </c>
      <c r="P1009" t="s">
        <v>498</v>
      </c>
      <c r="Q1009" s="4">
        <v>5.2596747999999999E-2</v>
      </c>
      <c r="R1009" t="s">
        <v>83</v>
      </c>
      <c r="S1009">
        <v>0.24432133</v>
      </c>
      <c r="T1009" t="s">
        <v>175</v>
      </c>
      <c r="U1009">
        <v>0.11505811000000001</v>
      </c>
      <c r="V1009" t="s">
        <v>706</v>
      </c>
      <c r="W1009">
        <v>0.111148976</v>
      </c>
    </row>
    <row r="1010" spans="1:23" x14ac:dyDescent="0.25">
      <c r="A1010" s="3" t="str">
        <f>HYPERLINK("http://ids.si.edu/ids/deliveryService?id=NMAH-2003-12751","NMAH-2003-12751")</f>
        <v>NMAH-2003-12751</v>
      </c>
      <c r="B1010" s="3" t="s">
        <v>2460</v>
      </c>
      <c r="C1010" s="3">
        <v>1181785</v>
      </c>
      <c r="D1010" s="3" t="s">
        <v>797</v>
      </c>
      <c r="E1010" s="4" t="s">
        <v>1057</v>
      </c>
      <c r="F1010" t="s">
        <v>846</v>
      </c>
      <c r="G1010">
        <v>0.96041238307952881</v>
      </c>
      <c r="H1010" t="s">
        <v>953</v>
      </c>
      <c r="I1010">
        <v>0.86936432123184204</v>
      </c>
      <c r="J1010" t="s">
        <v>921</v>
      </c>
      <c r="K1010" s="4">
        <v>0.86151611804962158</v>
      </c>
      <c r="L1010" t="s">
        <v>464</v>
      </c>
      <c r="M1010">
        <v>0.57958680000000007</v>
      </c>
      <c r="N1010" t="s">
        <v>30</v>
      </c>
      <c r="O1010">
        <v>0.24366178999999999</v>
      </c>
      <c r="P1010" t="s">
        <v>416</v>
      </c>
      <c r="Q1010" s="4">
        <v>5.2180674000000003E-2</v>
      </c>
      <c r="R1010" t="s">
        <v>464</v>
      </c>
      <c r="S1010">
        <v>0.50134400000000001</v>
      </c>
      <c r="T1010" t="s">
        <v>30</v>
      </c>
      <c r="U1010">
        <v>0.25235187999999997</v>
      </c>
      <c r="V1010" t="s">
        <v>918</v>
      </c>
      <c r="W1010">
        <v>0.17673322999999999</v>
      </c>
    </row>
    <row r="1011" spans="1:23" x14ac:dyDescent="0.25">
      <c r="A1011" s="3" t="str">
        <f>HYPERLINK("http://ids.si.edu/ids/deliveryService?id=NMAH-AHB2013q094644","NMAH-AHB2013q094644")</f>
        <v>NMAH-AHB2013q094644</v>
      </c>
      <c r="B1011" s="3" t="s">
        <v>2461</v>
      </c>
      <c r="C1011" s="3">
        <v>303980</v>
      </c>
      <c r="D1011" s="3" t="s">
        <v>797</v>
      </c>
      <c r="E1011" s="4" t="s">
        <v>965</v>
      </c>
      <c r="F1011" t="s">
        <v>1415</v>
      </c>
      <c r="G1011">
        <v>0.72467023134231567</v>
      </c>
      <c r="L1011" t="s">
        <v>83</v>
      </c>
      <c r="M1011">
        <v>0.38331340000000003</v>
      </c>
      <c r="N1011" t="s">
        <v>2462</v>
      </c>
      <c r="O1011">
        <v>0.15717684000000001</v>
      </c>
      <c r="P1011" t="s">
        <v>87</v>
      </c>
      <c r="Q1011" s="4">
        <v>6.4853564000000002E-2</v>
      </c>
      <c r="R1011" t="s">
        <v>84</v>
      </c>
      <c r="S1011">
        <v>0.30112689999999998</v>
      </c>
      <c r="T1011" t="s">
        <v>82</v>
      </c>
      <c r="U1011">
        <v>0.1170773</v>
      </c>
      <c r="V1011" t="s">
        <v>83</v>
      </c>
      <c r="W1011">
        <v>8.5401914999999995E-2</v>
      </c>
    </row>
    <row r="1012" spans="1:23" x14ac:dyDescent="0.25">
      <c r="A1012" s="3" t="str">
        <f>HYPERLINK("http://ids.si.edu/ids/deliveryService?id=NMAH-AHB2014q054052","NMAH-AHB2014q054052")</f>
        <v>NMAH-AHB2014q054052</v>
      </c>
      <c r="B1012" s="3" t="s">
        <v>2463</v>
      </c>
      <c r="C1012" s="3">
        <v>678221</v>
      </c>
      <c r="D1012" s="3" t="s">
        <v>797</v>
      </c>
      <c r="E1012" s="4" t="s">
        <v>2464</v>
      </c>
      <c r="F1012" t="s">
        <v>91</v>
      </c>
      <c r="G1012">
        <v>0.96559286117553711</v>
      </c>
      <c r="H1012" t="s">
        <v>50</v>
      </c>
      <c r="I1012">
        <v>0.6591346263885498</v>
      </c>
      <c r="J1012" t="s">
        <v>1123</v>
      </c>
      <c r="K1012" s="4">
        <v>0.61616629362106323</v>
      </c>
      <c r="L1012" t="s">
        <v>1013</v>
      </c>
      <c r="M1012">
        <v>0.99727779999999999</v>
      </c>
      <c r="N1012" t="s">
        <v>213</v>
      </c>
      <c r="O1012">
        <v>8.4016734E-4</v>
      </c>
      <c r="P1012" t="s">
        <v>1168</v>
      </c>
      <c r="Q1012" s="4">
        <v>6.3959485999999998E-4</v>
      </c>
      <c r="R1012" t="s">
        <v>1013</v>
      </c>
      <c r="S1012">
        <v>0.61932359999999997</v>
      </c>
      <c r="T1012" t="s">
        <v>213</v>
      </c>
      <c r="U1012">
        <v>0.22032325</v>
      </c>
      <c r="V1012" t="s">
        <v>1071</v>
      </c>
      <c r="W1012">
        <v>1.1411818000000001E-2</v>
      </c>
    </row>
    <row r="1013" spans="1:23" x14ac:dyDescent="0.25">
      <c r="A1013" s="3" t="str">
        <f>HYPERLINK("http://ids.si.edu/ids/deliveryService?id=NMAH-AHB2013q097786","NMAH-AHB2013q097786")</f>
        <v>NMAH-AHB2013q097786</v>
      </c>
      <c r="B1013" s="3" t="s">
        <v>2465</v>
      </c>
      <c r="C1013" s="3">
        <v>1451457</v>
      </c>
      <c r="D1013" s="3" t="s">
        <v>797</v>
      </c>
      <c r="E1013" s="4" t="s">
        <v>2466</v>
      </c>
      <c r="F1013" t="s">
        <v>188</v>
      </c>
      <c r="G1013">
        <v>0.6508980393409729</v>
      </c>
      <c r="H1013" t="s">
        <v>2467</v>
      </c>
      <c r="I1013">
        <v>0.54783099889755249</v>
      </c>
      <c r="J1013" t="s">
        <v>2400</v>
      </c>
      <c r="K1013" s="4">
        <v>0.54230409860610962</v>
      </c>
      <c r="L1013" t="s">
        <v>1389</v>
      </c>
      <c r="M1013">
        <v>0.14407656999999999</v>
      </c>
      <c r="N1013" t="s">
        <v>706</v>
      </c>
      <c r="O1013">
        <v>8.4229999999999999E-2</v>
      </c>
      <c r="P1013" t="s">
        <v>64</v>
      </c>
      <c r="Q1013" s="4">
        <v>5.6728300000000002E-2</v>
      </c>
      <c r="R1013" t="s">
        <v>1214</v>
      </c>
      <c r="S1013">
        <v>0.23481624000000001</v>
      </c>
      <c r="T1013" t="s">
        <v>71</v>
      </c>
      <c r="U1013">
        <v>0.15388408000000001</v>
      </c>
      <c r="V1013" t="s">
        <v>175</v>
      </c>
      <c r="W1013">
        <v>4.1065898000000003E-2</v>
      </c>
    </row>
    <row r="1014" spans="1:23" x14ac:dyDescent="0.25">
      <c r="A1014" s="3" t="str">
        <f>HYPERLINK("http://ids.si.edu/ids/deliveryService?id=NMAH-AHB2013q098519","NMAH-AHB2013q098519")</f>
        <v>NMAH-AHB2013q098519</v>
      </c>
      <c r="B1014" s="3" t="s">
        <v>2468</v>
      </c>
      <c r="C1014" s="3">
        <v>310283</v>
      </c>
      <c r="D1014" s="3" t="s">
        <v>797</v>
      </c>
      <c r="E1014" s="4" t="s">
        <v>945</v>
      </c>
      <c r="F1014" t="s">
        <v>946</v>
      </c>
      <c r="G1014">
        <v>0.95961838960647583</v>
      </c>
      <c r="H1014" t="s">
        <v>1083</v>
      </c>
      <c r="I1014">
        <v>0.91236817836761475</v>
      </c>
      <c r="J1014" t="s">
        <v>2469</v>
      </c>
      <c r="K1014" s="4">
        <v>0.86499959230422974</v>
      </c>
      <c r="L1014" t="s">
        <v>888</v>
      </c>
      <c r="M1014">
        <v>0.32486355</v>
      </c>
      <c r="N1014" t="s">
        <v>365</v>
      </c>
      <c r="O1014">
        <v>0.17629980000000001</v>
      </c>
      <c r="P1014" t="s">
        <v>156</v>
      </c>
      <c r="Q1014" s="4">
        <v>0.16135696999999999</v>
      </c>
      <c r="R1014" t="s">
        <v>888</v>
      </c>
      <c r="S1014">
        <v>0.25079826</v>
      </c>
      <c r="T1014" t="s">
        <v>156</v>
      </c>
      <c r="U1014">
        <v>0.13027142</v>
      </c>
      <c r="V1014" t="s">
        <v>813</v>
      </c>
      <c r="W1014">
        <v>9.9711380000000002E-2</v>
      </c>
    </row>
    <row r="1015" spans="1:23" x14ac:dyDescent="0.25">
      <c r="A1015" s="3" t="str">
        <f>HYPERLINK("http://ids.si.edu/ids/deliveryService?id=NMAH-AHB2013q102385","NMAH-AHB2013q102385")</f>
        <v>NMAH-AHB2013q102385</v>
      </c>
      <c r="B1015" s="3" t="s">
        <v>2470</v>
      </c>
      <c r="C1015" s="3">
        <v>310538</v>
      </c>
      <c r="D1015" s="3" t="s">
        <v>797</v>
      </c>
      <c r="E1015" s="4" t="s">
        <v>826</v>
      </c>
      <c r="F1015" t="s">
        <v>300</v>
      </c>
      <c r="G1015">
        <v>0.77486151456832886</v>
      </c>
      <c r="H1015" t="s">
        <v>188</v>
      </c>
      <c r="I1015">
        <v>0.59940940141677856</v>
      </c>
      <c r="J1015" t="s">
        <v>582</v>
      </c>
      <c r="K1015" s="4">
        <v>0.55821055173873901</v>
      </c>
      <c r="L1015" t="s">
        <v>829</v>
      </c>
      <c r="M1015">
        <v>0.34656247000000001</v>
      </c>
      <c r="N1015" t="s">
        <v>828</v>
      </c>
      <c r="O1015">
        <v>0.25175330000000001</v>
      </c>
      <c r="P1015" t="s">
        <v>749</v>
      </c>
      <c r="Q1015" s="4">
        <v>2.7443598999999999E-2</v>
      </c>
      <c r="R1015" t="s">
        <v>259</v>
      </c>
      <c r="S1015">
        <v>0.1171127</v>
      </c>
      <c r="T1015" t="s">
        <v>66</v>
      </c>
      <c r="U1015">
        <v>8.1267759999999994E-2</v>
      </c>
      <c r="V1015" t="s">
        <v>829</v>
      </c>
      <c r="W1015">
        <v>7.8374879999999994E-2</v>
      </c>
    </row>
    <row r="1016" spans="1:23" x14ac:dyDescent="0.25">
      <c r="A1016" s="3" t="str">
        <f>HYPERLINK("http://ids.si.edu/ids/deliveryService?id=NMAH-AHB2013q094408","NMAH-AHB2013q094408")</f>
        <v>NMAH-AHB2013q094408</v>
      </c>
      <c r="B1016" s="3" t="s">
        <v>2471</v>
      </c>
      <c r="C1016" s="3">
        <v>315161</v>
      </c>
      <c r="D1016" s="3" t="s">
        <v>797</v>
      </c>
      <c r="E1016" s="4" t="s">
        <v>965</v>
      </c>
      <c r="F1016" t="s">
        <v>50</v>
      </c>
      <c r="G1016">
        <v>0.71872144937515259</v>
      </c>
      <c r="L1016" t="s">
        <v>369</v>
      </c>
      <c r="M1016">
        <v>0.14102033</v>
      </c>
      <c r="N1016" t="s">
        <v>158</v>
      </c>
      <c r="O1016">
        <v>0.12045859</v>
      </c>
      <c r="P1016" t="s">
        <v>1465</v>
      </c>
      <c r="Q1016" s="4">
        <v>4.5407042000000002E-2</v>
      </c>
      <c r="R1016" t="s">
        <v>83</v>
      </c>
      <c r="S1016">
        <v>0.12401197</v>
      </c>
      <c r="T1016" t="s">
        <v>158</v>
      </c>
      <c r="U1016">
        <v>0.10279669</v>
      </c>
      <c r="V1016" t="s">
        <v>159</v>
      </c>
      <c r="W1016">
        <v>0.10276919599999999</v>
      </c>
    </row>
    <row r="1017" spans="1:23" x14ac:dyDescent="0.25">
      <c r="A1017" s="3" t="str">
        <f>HYPERLINK("http://ids.si.edu/ids/deliveryService?id=NMAH-AHB2013q094772","NMAH-AHB2013q094772")</f>
        <v>NMAH-AHB2013q094772</v>
      </c>
      <c r="B1017" s="3" t="s">
        <v>2472</v>
      </c>
      <c r="C1017" s="3">
        <v>306633</v>
      </c>
      <c r="D1017" s="3" t="s">
        <v>797</v>
      </c>
      <c r="E1017" s="4" t="s">
        <v>965</v>
      </c>
      <c r="L1017" t="s">
        <v>239</v>
      </c>
      <c r="M1017">
        <v>0.34033844000000002</v>
      </c>
      <c r="N1017" t="s">
        <v>53</v>
      </c>
      <c r="O1017">
        <v>0.22578691000000001</v>
      </c>
      <c r="P1017" t="s">
        <v>369</v>
      </c>
      <c r="Q1017" s="4">
        <v>4.5254339999999997E-2</v>
      </c>
      <c r="R1017" t="s">
        <v>66</v>
      </c>
      <c r="S1017">
        <v>0.31904199999999999</v>
      </c>
      <c r="T1017" t="s">
        <v>185</v>
      </c>
      <c r="U1017">
        <v>6.2994949999999994E-2</v>
      </c>
      <c r="V1017" t="s">
        <v>151</v>
      </c>
      <c r="W1017">
        <v>6.2128524999999997E-2</v>
      </c>
    </row>
    <row r="1018" spans="1:23" x14ac:dyDescent="0.25">
      <c r="A1018" s="3" t="str">
        <f>HYPERLINK("http://ids.si.edu/ids/deliveryService?id=NMAH-AHB2013q102472","NMAH-AHB2013q102472")</f>
        <v>NMAH-AHB2013q102472</v>
      </c>
      <c r="B1018" s="3" t="s">
        <v>2473</v>
      </c>
      <c r="C1018" s="3">
        <v>310494</v>
      </c>
      <c r="D1018" s="3" t="s">
        <v>797</v>
      </c>
      <c r="E1018" s="4" t="s">
        <v>826</v>
      </c>
      <c r="F1018" t="s">
        <v>2474</v>
      </c>
      <c r="G1018">
        <v>0.68020617961883545</v>
      </c>
      <c r="H1018" t="s">
        <v>2475</v>
      </c>
      <c r="I1018">
        <v>0.61361473798751831</v>
      </c>
      <c r="J1018" t="s">
        <v>2476</v>
      </c>
      <c r="K1018" s="4">
        <v>0.54396027326583862</v>
      </c>
      <c r="L1018" t="s">
        <v>829</v>
      </c>
      <c r="M1018">
        <v>0.31247459999999999</v>
      </c>
      <c r="N1018" t="s">
        <v>498</v>
      </c>
      <c r="O1018">
        <v>9.5482319999999996E-2</v>
      </c>
      <c r="P1018" t="s">
        <v>828</v>
      </c>
      <c r="Q1018" s="4">
        <v>7.278772E-2</v>
      </c>
      <c r="R1018" t="s">
        <v>148</v>
      </c>
      <c r="S1018">
        <v>0.15040234999999999</v>
      </c>
      <c r="T1018" t="s">
        <v>66</v>
      </c>
      <c r="U1018">
        <v>0.1379071</v>
      </c>
      <c r="V1018" t="s">
        <v>948</v>
      </c>
      <c r="W1018">
        <v>0.10636074</v>
      </c>
    </row>
    <row r="1019" spans="1:23" x14ac:dyDescent="0.25">
      <c r="A1019" s="3" t="str">
        <f>HYPERLINK("http://ids.si.edu/ids/deliveryService?id=NMAH-2011-04618","NMAH-2011-04618")</f>
        <v>NMAH-2011-04618</v>
      </c>
      <c r="B1019" s="3" t="s">
        <v>2477</v>
      </c>
      <c r="C1019" s="3">
        <v>325684</v>
      </c>
      <c r="D1019" s="3" t="s">
        <v>797</v>
      </c>
      <c r="E1019" s="4" t="s">
        <v>803</v>
      </c>
      <c r="F1019" t="s">
        <v>519</v>
      </c>
      <c r="G1019">
        <v>0.91275793313980103</v>
      </c>
      <c r="H1019" t="s">
        <v>311</v>
      </c>
      <c r="I1019">
        <v>0.7095673680305481</v>
      </c>
      <c r="J1019" t="s">
        <v>1284</v>
      </c>
      <c r="K1019" s="4">
        <v>0.69832795858383179</v>
      </c>
      <c r="L1019" t="s">
        <v>568</v>
      </c>
      <c r="M1019">
        <v>0.44489309999999999</v>
      </c>
      <c r="N1019" t="s">
        <v>65</v>
      </c>
      <c r="O1019">
        <v>0.17261789999999999</v>
      </c>
      <c r="P1019" t="s">
        <v>2202</v>
      </c>
      <c r="Q1019" s="4">
        <v>3.1733154999999999E-2</v>
      </c>
      <c r="R1019" t="s">
        <v>129</v>
      </c>
      <c r="S1019">
        <v>0.53151669999999995</v>
      </c>
      <c r="T1019" t="s">
        <v>65</v>
      </c>
      <c r="U1019">
        <v>0.34764161999999998</v>
      </c>
      <c r="V1019" t="s">
        <v>29</v>
      </c>
      <c r="W1019">
        <v>6.8117424999999995E-2</v>
      </c>
    </row>
    <row r="1020" spans="1:23" x14ac:dyDescent="0.25">
      <c r="A1020" s="3" t="str">
        <f>HYPERLINK("http://ids.si.edu/ids/deliveryService?id=NMAH-AHB2014q066534","NMAH-AHB2014q066534")</f>
        <v>NMAH-AHB2014q066534</v>
      </c>
      <c r="B1020" s="3" t="s">
        <v>2478</v>
      </c>
      <c r="C1020" s="3">
        <v>1460987</v>
      </c>
      <c r="D1020" s="3" t="s">
        <v>797</v>
      </c>
      <c r="E1020" s="4" t="s">
        <v>740</v>
      </c>
      <c r="F1020" t="s">
        <v>297</v>
      </c>
      <c r="G1020">
        <v>0.85545557737350464</v>
      </c>
      <c r="H1020" t="s">
        <v>1108</v>
      </c>
      <c r="I1020">
        <v>0.83443367481231689</v>
      </c>
      <c r="J1020" t="s">
        <v>1459</v>
      </c>
      <c r="K1020" s="4">
        <v>0.69706583023071289</v>
      </c>
      <c r="L1020" t="s">
        <v>226</v>
      </c>
      <c r="M1020">
        <v>0.12344873000000001</v>
      </c>
      <c r="N1020" t="s">
        <v>149</v>
      </c>
      <c r="O1020">
        <v>0.122406766</v>
      </c>
      <c r="P1020" t="s">
        <v>398</v>
      </c>
      <c r="Q1020" s="4">
        <v>8.6737499999999995E-2</v>
      </c>
      <c r="R1020" t="s">
        <v>151</v>
      </c>
      <c r="S1020">
        <v>0.1492414</v>
      </c>
      <c r="T1020" t="s">
        <v>765</v>
      </c>
      <c r="U1020">
        <v>0.10636091</v>
      </c>
      <c r="V1020" t="s">
        <v>336</v>
      </c>
      <c r="W1020">
        <v>9.9484870000000003E-2</v>
      </c>
    </row>
    <row r="1021" spans="1:23" x14ac:dyDescent="0.25">
      <c r="A1021" s="3" t="str">
        <f>HYPERLINK("http://ids.si.edu/ids/deliveryService?id=NMAH-73-4263","NMAH-73-4263")</f>
        <v>NMAH-73-4263</v>
      </c>
      <c r="B1021" s="3" t="s">
        <v>2479</v>
      </c>
      <c r="C1021" s="3">
        <v>556267</v>
      </c>
      <c r="D1021" s="3" t="s">
        <v>797</v>
      </c>
      <c r="E1021" s="4" t="s">
        <v>1039</v>
      </c>
      <c r="F1021" t="s">
        <v>39</v>
      </c>
      <c r="G1021">
        <v>0.75950908660888672</v>
      </c>
      <c r="H1021" t="s">
        <v>617</v>
      </c>
      <c r="I1021">
        <v>0.75200349092483521</v>
      </c>
      <c r="J1021" t="s">
        <v>1183</v>
      </c>
      <c r="K1021" s="4">
        <v>0.59317737817764282</v>
      </c>
      <c r="L1021" t="s">
        <v>42</v>
      </c>
      <c r="M1021">
        <v>0.27242166000000001</v>
      </c>
      <c r="N1021" t="s">
        <v>79</v>
      </c>
      <c r="O1021">
        <v>0.18131314000000001</v>
      </c>
      <c r="P1021" t="s">
        <v>451</v>
      </c>
      <c r="Q1021" s="4">
        <v>0.14275009999999999</v>
      </c>
      <c r="R1021" t="s">
        <v>42</v>
      </c>
      <c r="S1021">
        <v>0.30595228000000002</v>
      </c>
      <c r="T1021" t="s">
        <v>66</v>
      </c>
      <c r="U1021">
        <v>0.27403190000000011</v>
      </c>
      <c r="V1021" t="s">
        <v>678</v>
      </c>
      <c r="W1021">
        <v>0.12579928000000001</v>
      </c>
    </row>
    <row r="1022" spans="1:23" x14ac:dyDescent="0.25">
      <c r="A1022" s="3" t="str">
        <f>HYPERLINK("http://ids.si.edu/ids/deliveryService?id=NMAH-AHB2013q102388","NMAH-AHB2013q102388")</f>
        <v>NMAH-AHB2013q102388</v>
      </c>
      <c r="B1022" s="3" t="s">
        <v>2480</v>
      </c>
      <c r="C1022" s="3">
        <v>310529</v>
      </c>
      <c r="D1022" s="3" t="s">
        <v>797</v>
      </c>
      <c r="E1022" s="4" t="s">
        <v>826</v>
      </c>
      <c r="F1022" t="s">
        <v>300</v>
      </c>
      <c r="G1022">
        <v>0.65084493160247803</v>
      </c>
      <c r="H1022" t="s">
        <v>582</v>
      </c>
      <c r="I1022">
        <v>0.53801506757736206</v>
      </c>
      <c r="L1022" t="s">
        <v>829</v>
      </c>
      <c r="M1022">
        <v>0.88502382999999996</v>
      </c>
      <c r="N1022" t="s">
        <v>2141</v>
      </c>
      <c r="O1022">
        <v>8.1645540000000009E-3</v>
      </c>
      <c r="P1022" t="s">
        <v>141</v>
      </c>
      <c r="Q1022" s="4">
        <v>6.7135774999999998E-3</v>
      </c>
      <c r="R1022" t="s">
        <v>829</v>
      </c>
      <c r="S1022">
        <v>0.82521830000000007</v>
      </c>
      <c r="T1022" t="s">
        <v>1889</v>
      </c>
      <c r="U1022">
        <v>3.3744650000000001E-2</v>
      </c>
      <c r="V1022" t="s">
        <v>948</v>
      </c>
      <c r="W1022">
        <v>7.7181200000000002E-3</v>
      </c>
    </row>
    <row r="1023" spans="1:23" x14ac:dyDescent="0.25">
      <c r="A1023" s="3" t="str">
        <f>HYPERLINK("http://ids.si.edu/ids/deliveryService?id=NMAH-AHB2014q054790","NMAH-AHB2014q054790")</f>
        <v>NMAH-AHB2014q054790</v>
      </c>
      <c r="B1023" s="3" t="s">
        <v>2481</v>
      </c>
      <c r="C1023" s="3">
        <v>310917</v>
      </c>
      <c r="D1023" s="3" t="s">
        <v>797</v>
      </c>
      <c r="E1023" s="4" t="s">
        <v>2482</v>
      </c>
      <c r="F1023" t="s">
        <v>91</v>
      </c>
      <c r="G1023">
        <v>0.92529410123825073</v>
      </c>
      <c r="H1023" t="s">
        <v>1150</v>
      </c>
      <c r="I1023">
        <v>0.59742206335067749</v>
      </c>
      <c r="L1023" t="s">
        <v>820</v>
      </c>
      <c r="M1023">
        <v>0.22090113</v>
      </c>
      <c r="N1023" t="s">
        <v>239</v>
      </c>
      <c r="O1023">
        <v>9.4702900000000007E-2</v>
      </c>
      <c r="P1023" t="s">
        <v>443</v>
      </c>
      <c r="Q1023" s="4">
        <v>7.3832214000000007E-2</v>
      </c>
      <c r="R1023" t="s">
        <v>689</v>
      </c>
      <c r="S1023">
        <v>0.14564429000000001</v>
      </c>
      <c r="T1023" t="s">
        <v>303</v>
      </c>
      <c r="U1023">
        <v>0.1051692</v>
      </c>
      <c r="V1023" t="s">
        <v>364</v>
      </c>
      <c r="W1023">
        <v>7.4392009999999995E-2</v>
      </c>
    </row>
    <row r="1024" spans="1:23" x14ac:dyDescent="0.25">
      <c r="A1024" s="3" t="str">
        <f>HYPERLINK("http://ids.si.edu/ids/deliveryService?id=NMAH-TA2012-0205","NMAH-TA2012-0205")</f>
        <v>NMAH-TA2012-0205</v>
      </c>
      <c r="B1024" s="3" t="s">
        <v>2483</v>
      </c>
      <c r="C1024" s="3">
        <v>1005389</v>
      </c>
      <c r="D1024" s="3" t="s">
        <v>797</v>
      </c>
      <c r="E1024" s="4" t="s">
        <v>2319</v>
      </c>
      <c r="F1024" t="s">
        <v>61</v>
      </c>
      <c r="G1024">
        <v>0.96445000171661377</v>
      </c>
      <c r="H1024" t="s">
        <v>112</v>
      </c>
      <c r="I1024">
        <v>0.95826047658920288</v>
      </c>
      <c r="J1024" t="s">
        <v>196</v>
      </c>
      <c r="K1024" s="4">
        <v>0.92823690176010132</v>
      </c>
      <c r="L1024" t="s">
        <v>29</v>
      </c>
      <c r="M1024">
        <v>0.30407745000000003</v>
      </c>
      <c r="N1024" t="s">
        <v>156</v>
      </c>
      <c r="O1024">
        <v>9.4684530000000003E-2</v>
      </c>
      <c r="P1024" t="s">
        <v>185</v>
      </c>
      <c r="Q1024" s="4">
        <v>4.5581940000000001E-2</v>
      </c>
      <c r="R1024" t="s">
        <v>29</v>
      </c>
      <c r="S1024">
        <v>7.1812189999999998E-2</v>
      </c>
      <c r="T1024" t="s">
        <v>65</v>
      </c>
      <c r="U1024">
        <v>6.4092759999999999E-2</v>
      </c>
      <c r="V1024" t="s">
        <v>183</v>
      </c>
      <c r="W1024">
        <v>4.6438519999999997E-2</v>
      </c>
    </row>
    <row r="1025" spans="1:23" x14ac:dyDescent="0.25">
      <c r="A1025" s="3" t="str">
        <f>HYPERLINK("http://ids.si.edu/ids/deliveryService?id=NMAH-2011-04452","NMAH-2011-04452")</f>
        <v>NMAH-2011-04452</v>
      </c>
      <c r="B1025" s="3" t="s">
        <v>2484</v>
      </c>
      <c r="C1025" s="3">
        <v>324734</v>
      </c>
      <c r="D1025" s="3" t="s">
        <v>797</v>
      </c>
      <c r="E1025" s="4" t="s">
        <v>803</v>
      </c>
      <c r="F1025" t="s">
        <v>2315</v>
      </c>
      <c r="G1025">
        <v>0.80976629257202148</v>
      </c>
      <c r="H1025" t="s">
        <v>62</v>
      </c>
      <c r="I1025">
        <v>0.73102903366088867</v>
      </c>
      <c r="J1025" t="s">
        <v>264</v>
      </c>
      <c r="K1025" s="4">
        <v>0.72852432727813721</v>
      </c>
      <c r="L1025" t="s">
        <v>29</v>
      </c>
      <c r="M1025">
        <v>0.46169822999999999</v>
      </c>
      <c r="N1025" t="s">
        <v>378</v>
      </c>
      <c r="O1025">
        <v>0.37199500000000002</v>
      </c>
      <c r="P1025" t="s">
        <v>65</v>
      </c>
      <c r="Q1025" s="4">
        <v>4.6838716000000002E-2</v>
      </c>
      <c r="R1025" t="s">
        <v>378</v>
      </c>
      <c r="S1025">
        <v>0.50959754000000002</v>
      </c>
      <c r="T1025" t="s">
        <v>65</v>
      </c>
      <c r="U1025">
        <v>0.15131</v>
      </c>
      <c r="V1025" t="s">
        <v>484</v>
      </c>
      <c r="W1025">
        <v>8.4278149999999996E-2</v>
      </c>
    </row>
    <row r="1026" spans="1:23" x14ac:dyDescent="0.25">
      <c r="A1026" s="3" t="str">
        <f>HYPERLINK("http://ids.si.edu/ids/deliveryService?id=NMAH-2002-28660-000001","NMAH-2002-28660-000001")</f>
        <v>NMAH-2002-28660-000001</v>
      </c>
      <c r="B1026" s="3" t="s">
        <v>2485</v>
      </c>
      <c r="C1026" s="3">
        <v>620454</v>
      </c>
      <c r="D1026" s="3" t="s">
        <v>797</v>
      </c>
      <c r="E1026" s="4" t="s">
        <v>1027</v>
      </c>
      <c r="F1026" t="s">
        <v>39</v>
      </c>
      <c r="G1026">
        <v>0.84515994787216187</v>
      </c>
      <c r="H1026" t="s">
        <v>617</v>
      </c>
      <c r="I1026">
        <v>0.76296454668045044</v>
      </c>
      <c r="J1026" t="s">
        <v>1109</v>
      </c>
      <c r="K1026" s="4">
        <v>0.65772277116775513</v>
      </c>
      <c r="L1026" t="s">
        <v>43</v>
      </c>
      <c r="M1026">
        <v>0.53266159999999996</v>
      </c>
      <c r="N1026" t="s">
        <v>79</v>
      </c>
      <c r="O1026">
        <v>0.31150784999999998</v>
      </c>
      <c r="P1026" t="s">
        <v>45</v>
      </c>
      <c r="Q1026" s="4">
        <v>0.12491051</v>
      </c>
      <c r="R1026" t="s">
        <v>79</v>
      </c>
      <c r="S1026">
        <v>0.38957402000000002</v>
      </c>
      <c r="T1026" t="s">
        <v>43</v>
      </c>
      <c r="U1026">
        <v>0.2392041</v>
      </c>
      <c r="V1026" t="s">
        <v>45</v>
      </c>
      <c r="W1026">
        <v>9.6243319999999993E-2</v>
      </c>
    </row>
    <row r="1027" spans="1:23" x14ac:dyDescent="0.25">
      <c r="A1027" s="3" t="str">
        <f>HYPERLINK("http://ids.si.edu/ids/deliveryService?id=NMAH-AHB2011q30119","NMAH-AHB2011q30119")</f>
        <v>NMAH-AHB2011q30119</v>
      </c>
      <c r="B1027" s="3" t="s">
        <v>2487</v>
      </c>
      <c r="C1027" s="3">
        <v>1397064</v>
      </c>
      <c r="D1027" s="3" t="s">
        <v>1167</v>
      </c>
      <c r="E1027" s="4" t="s">
        <v>2488</v>
      </c>
      <c r="F1027" t="s">
        <v>2489</v>
      </c>
      <c r="G1027">
        <v>0.93887931108474731</v>
      </c>
      <c r="H1027" t="s">
        <v>1174</v>
      </c>
      <c r="I1027">
        <v>0.93103033304214478</v>
      </c>
      <c r="J1027" t="s">
        <v>1280</v>
      </c>
      <c r="K1027" s="4">
        <v>0.92743438482284546</v>
      </c>
      <c r="L1027" t="s">
        <v>362</v>
      </c>
      <c r="M1027">
        <v>0.29404140000000001</v>
      </c>
      <c r="N1027" t="s">
        <v>170</v>
      </c>
      <c r="O1027">
        <v>0.10972466</v>
      </c>
      <c r="P1027" t="s">
        <v>113</v>
      </c>
      <c r="Q1027" s="4">
        <v>0.1010857</v>
      </c>
      <c r="R1027" t="s">
        <v>312</v>
      </c>
      <c r="S1027">
        <v>0.39580408</v>
      </c>
      <c r="T1027" t="s">
        <v>984</v>
      </c>
      <c r="U1027">
        <v>0.17991412000000001</v>
      </c>
      <c r="V1027" t="s">
        <v>2490</v>
      </c>
      <c r="W1027">
        <v>0.16427784000000001</v>
      </c>
    </row>
    <row r="1028" spans="1:23" x14ac:dyDescent="0.25">
      <c r="A1028" s="3" t="str">
        <f>HYPERLINK("http://ids.si.edu/ids/deliveryService?id=SIA-2004-33273","SIA-2004-33273")</f>
        <v>SIA-2004-33273</v>
      </c>
      <c r="B1028" s="3" t="s">
        <v>2491</v>
      </c>
      <c r="C1028" s="3">
        <v>1284723</v>
      </c>
      <c r="D1028" s="3" t="s">
        <v>1167</v>
      </c>
      <c r="E1028" s="4" t="s">
        <v>842</v>
      </c>
      <c r="F1028" t="s">
        <v>196</v>
      </c>
      <c r="G1028">
        <v>0.73639166355133057</v>
      </c>
      <c r="H1028" t="s">
        <v>1224</v>
      </c>
      <c r="I1028">
        <v>0.67324316501617432</v>
      </c>
      <c r="J1028" t="s">
        <v>582</v>
      </c>
      <c r="K1028" s="4">
        <v>0.59277230501174927</v>
      </c>
      <c r="L1028" t="s">
        <v>585</v>
      </c>
      <c r="M1028">
        <v>0.23735956999999999</v>
      </c>
      <c r="N1028" t="s">
        <v>2492</v>
      </c>
      <c r="O1028">
        <v>0.21716315</v>
      </c>
      <c r="P1028" t="s">
        <v>586</v>
      </c>
      <c r="Q1028" s="4">
        <v>0.1999216</v>
      </c>
      <c r="R1028" t="s">
        <v>813</v>
      </c>
      <c r="S1028">
        <v>0.38635754999999999</v>
      </c>
      <c r="T1028" t="s">
        <v>586</v>
      </c>
      <c r="U1028">
        <v>0.19659823000000001</v>
      </c>
      <c r="V1028" t="s">
        <v>303</v>
      </c>
      <c r="W1028">
        <v>9.6527409999999994E-2</v>
      </c>
    </row>
    <row r="1029" spans="1:23" x14ac:dyDescent="0.25">
      <c r="A1029" s="3" t="str">
        <f>HYPERLINK("http://ids.si.edu/ids/deliveryService?id=NMAH-AHB2013q075563","NMAH-AHB2013q075563")</f>
        <v>NMAH-AHB2013q075563</v>
      </c>
      <c r="B1029" s="3" t="s">
        <v>2493</v>
      </c>
      <c r="C1029" s="3">
        <v>730672</v>
      </c>
      <c r="D1029" s="3" t="s">
        <v>1167</v>
      </c>
      <c r="E1029" s="4" t="s">
        <v>2494</v>
      </c>
      <c r="F1029" t="s">
        <v>132</v>
      </c>
      <c r="G1029">
        <v>0.86494487524032593</v>
      </c>
      <c r="H1029" t="s">
        <v>61</v>
      </c>
      <c r="I1029">
        <v>0.85248786211013794</v>
      </c>
      <c r="J1029" t="s">
        <v>486</v>
      </c>
      <c r="K1029" s="4">
        <v>0.84162169694900513</v>
      </c>
      <c r="L1029" t="s">
        <v>571</v>
      </c>
      <c r="M1029">
        <v>0.21024978</v>
      </c>
      <c r="N1029" t="s">
        <v>335</v>
      </c>
      <c r="O1029">
        <v>0.2085082</v>
      </c>
      <c r="P1029" t="s">
        <v>1338</v>
      </c>
      <c r="Q1029" s="4">
        <v>0.16549897</v>
      </c>
      <c r="R1029" t="s">
        <v>31</v>
      </c>
      <c r="S1029">
        <v>0.33087971999999999</v>
      </c>
      <c r="T1029" t="s">
        <v>150</v>
      </c>
      <c r="U1029">
        <v>0.23821716000000001</v>
      </c>
      <c r="V1029" t="s">
        <v>444</v>
      </c>
      <c r="W1029">
        <v>0.14605774999999999</v>
      </c>
    </row>
    <row r="1030" spans="1:23" x14ac:dyDescent="0.25">
      <c r="A1030" s="3" t="str">
        <f>HYPERLINK("http://ids.si.edu/ids/deliveryService?id=NMAH-AHB2012q06703","NMAH-AHB2012q06703")</f>
        <v>NMAH-AHB2012q06703</v>
      </c>
      <c r="B1030" s="3" t="s">
        <v>2495</v>
      </c>
      <c r="C1030" s="3">
        <v>1425350</v>
      </c>
      <c r="D1030" s="3" t="s">
        <v>1167</v>
      </c>
      <c r="E1030" s="4" t="s">
        <v>2496</v>
      </c>
      <c r="L1030" t="s">
        <v>330</v>
      </c>
      <c r="M1030">
        <v>0.23460323</v>
      </c>
      <c r="N1030" t="s">
        <v>329</v>
      </c>
      <c r="O1030">
        <v>0.10587089500000001</v>
      </c>
      <c r="P1030" t="s">
        <v>1709</v>
      </c>
      <c r="Q1030" s="4">
        <v>9.7575819999999994E-2</v>
      </c>
      <c r="R1030" t="s">
        <v>151</v>
      </c>
      <c r="S1030">
        <v>0.10457901</v>
      </c>
      <c r="T1030" t="s">
        <v>330</v>
      </c>
      <c r="U1030">
        <v>6.7027340000000005E-2</v>
      </c>
      <c r="V1030" t="s">
        <v>83</v>
      </c>
      <c r="W1030">
        <v>4.5643594000000003E-2</v>
      </c>
    </row>
    <row r="1031" spans="1:23" x14ac:dyDescent="0.25">
      <c r="A1031" s="3" t="str">
        <f>HYPERLINK("http://ids.si.edu/ids/deliveryService?id=NMAH-JN2017-01086-000001","NMAH-JN2017-01086-000001")</f>
        <v>NMAH-JN2017-01086-000001</v>
      </c>
      <c r="B1031" s="3" t="s">
        <v>2497</v>
      </c>
      <c r="C1031" s="3">
        <v>724045</v>
      </c>
      <c r="D1031" s="3" t="s">
        <v>1167</v>
      </c>
      <c r="E1031" s="4" t="s">
        <v>2498</v>
      </c>
      <c r="L1031" t="s">
        <v>357</v>
      </c>
      <c r="M1031">
        <v>0.28039389999999997</v>
      </c>
      <c r="N1031" t="s">
        <v>189</v>
      </c>
      <c r="O1031">
        <v>0.103393234</v>
      </c>
      <c r="P1031" t="s">
        <v>106</v>
      </c>
      <c r="Q1031" s="4">
        <v>8.6917079999999994E-2</v>
      </c>
      <c r="R1031" t="s">
        <v>357</v>
      </c>
      <c r="S1031">
        <v>0.29664740000000001</v>
      </c>
      <c r="T1031" t="s">
        <v>106</v>
      </c>
      <c r="U1031">
        <v>0.27498790000000012</v>
      </c>
      <c r="V1031" t="s">
        <v>1176</v>
      </c>
      <c r="W1031">
        <v>5.8127005000000002E-2</v>
      </c>
    </row>
    <row r="1032" spans="1:23" x14ac:dyDescent="0.25">
      <c r="A1032" s="3" t="str">
        <f>HYPERLINK("http://ids.si.edu/ids/deliveryService?id=NMAH-AHB2013q073072","NMAH-AHB2013q073072")</f>
        <v>NMAH-AHB2013q073072</v>
      </c>
      <c r="B1032" s="3" t="s">
        <v>2499</v>
      </c>
      <c r="C1032" s="3">
        <v>1445099</v>
      </c>
      <c r="D1032" s="3" t="s">
        <v>1167</v>
      </c>
      <c r="E1032" s="4" t="s">
        <v>2500</v>
      </c>
      <c r="F1032" t="s">
        <v>91</v>
      </c>
      <c r="G1032">
        <v>0.9675251841545105</v>
      </c>
      <c r="H1032" t="s">
        <v>147</v>
      </c>
      <c r="I1032">
        <v>0.86561733484268188</v>
      </c>
      <c r="J1032" t="s">
        <v>996</v>
      </c>
      <c r="K1032" s="4">
        <v>0.71483248472213745</v>
      </c>
      <c r="L1032" t="s">
        <v>1206</v>
      </c>
      <c r="M1032">
        <v>0.46749427999999998</v>
      </c>
      <c r="N1032" t="s">
        <v>601</v>
      </c>
      <c r="O1032">
        <v>9.1153964000000004E-2</v>
      </c>
      <c r="P1032" t="s">
        <v>627</v>
      </c>
      <c r="Q1032" s="4">
        <v>5.6641440000000001E-2</v>
      </c>
      <c r="R1032" t="s">
        <v>152</v>
      </c>
      <c r="S1032">
        <v>0.19184098999999999</v>
      </c>
      <c r="T1032" t="s">
        <v>253</v>
      </c>
      <c r="U1032">
        <v>5.419906E-2</v>
      </c>
      <c r="V1032" t="s">
        <v>63</v>
      </c>
      <c r="W1032">
        <v>5.0810992999999999E-2</v>
      </c>
    </row>
    <row r="1033" spans="1:23" x14ac:dyDescent="0.25">
      <c r="A1033" s="3" t="str">
        <f>HYPERLINK("http://ids.si.edu/ids/deliveryService?id=NMAH-RWS2014-03652","NMAH-RWS2014-03652")</f>
        <v>NMAH-RWS2014-03652</v>
      </c>
      <c r="B1033" s="3" t="s">
        <v>2501</v>
      </c>
      <c r="C1033" s="3">
        <v>738046</v>
      </c>
      <c r="D1033" s="3" t="s">
        <v>1167</v>
      </c>
      <c r="E1033" s="4" t="s">
        <v>2502</v>
      </c>
      <c r="F1033" t="s">
        <v>667</v>
      </c>
      <c r="G1033">
        <v>0.72366428375244141</v>
      </c>
      <c r="H1033" t="s">
        <v>188</v>
      </c>
      <c r="I1033">
        <v>0.59940940141677856</v>
      </c>
      <c r="J1033" t="s">
        <v>2503</v>
      </c>
      <c r="K1033" s="4">
        <v>0.51231998205184937</v>
      </c>
      <c r="L1033" t="s">
        <v>658</v>
      </c>
      <c r="M1033">
        <v>0.5078159000000001</v>
      </c>
      <c r="N1033" t="s">
        <v>1419</v>
      </c>
      <c r="O1033">
        <v>0.10240564000000001</v>
      </c>
      <c r="P1033" t="s">
        <v>2248</v>
      </c>
      <c r="Q1033" s="4">
        <v>0.10079616</v>
      </c>
      <c r="R1033" t="s">
        <v>175</v>
      </c>
      <c r="S1033">
        <v>0.15242745999999999</v>
      </c>
      <c r="T1033" t="s">
        <v>1764</v>
      </c>
      <c r="U1033">
        <v>5.9032130000000002E-2</v>
      </c>
      <c r="V1033" t="s">
        <v>338</v>
      </c>
      <c r="W1033">
        <v>5.1620676999999997E-2</v>
      </c>
    </row>
    <row r="1034" spans="1:23" x14ac:dyDescent="0.25">
      <c r="A1034" s="3" t="str">
        <f>HYPERLINK("http://ids.si.edu/ids/deliveryService?id=NMAH-AHB2017q052935","NMAH-AHB2017q052935")</f>
        <v>NMAH-AHB2017q052935</v>
      </c>
      <c r="B1034" s="3" t="s">
        <v>2504</v>
      </c>
      <c r="C1034" s="3">
        <v>747133</v>
      </c>
      <c r="D1034" s="3" t="s">
        <v>1167</v>
      </c>
      <c r="E1034" s="4" t="s">
        <v>2505</v>
      </c>
      <c r="F1034" t="s">
        <v>2506</v>
      </c>
      <c r="G1034">
        <v>0.77411234378814697</v>
      </c>
      <c r="H1034" t="s">
        <v>90</v>
      </c>
      <c r="I1034">
        <v>0.61177396774291992</v>
      </c>
      <c r="J1034" t="s">
        <v>2507</v>
      </c>
      <c r="K1034" s="4">
        <v>0.60007160902023315</v>
      </c>
      <c r="L1034" t="s">
        <v>1184</v>
      </c>
      <c r="M1034">
        <v>0.75150649999999997</v>
      </c>
      <c r="N1034" t="s">
        <v>261</v>
      </c>
      <c r="O1034">
        <v>0.21348557000000001</v>
      </c>
      <c r="P1034" t="s">
        <v>150</v>
      </c>
      <c r="Q1034" s="4">
        <v>9.2768309999999993E-3</v>
      </c>
      <c r="R1034" t="s">
        <v>261</v>
      </c>
      <c r="S1034">
        <v>0.88220309999999991</v>
      </c>
      <c r="T1034" t="s">
        <v>1184</v>
      </c>
      <c r="U1034">
        <v>8.6197354000000004E-2</v>
      </c>
      <c r="V1034" t="s">
        <v>31</v>
      </c>
      <c r="W1034">
        <v>1.4634438E-2</v>
      </c>
    </row>
    <row r="1035" spans="1:23" x14ac:dyDescent="0.25">
      <c r="A1035" s="3" t="str">
        <f>HYPERLINK("http://ids.si.edu/ids/deliveryService?id=NMAH-AHB2012q68927-000001","NMAH-AHB2012q68927-000001")</f>
        <v>NMAH-AHB2012q68927-000001</v>
      </c>
      <c r="B1035" s="3" t="s">
        <v>2508</v>
      </c>
      <c r="C1035" s="3">
        <v>1298569</v>
      </c>
      <c r="D1035" s="3" t="s">
        <v>1167</v>
      </c>
      <c r="E1035" s="4" t="s">
        <v>1173</v>
      </c>
      <c r="F1035" t="s">
        <v>91</v>
      </c>
      <c r="G1035">
        <v>0.94139593839645386</v>
      </c>
      <c r="H1035" t="s">
        <v>112</v>
      </c>
      <c r="I1035">
        <v>0.68572378158569336</v>
      </c>
      <c r="J1035" t="s">
        <v>196</v>
      </c>
      <c r="K1035" s="4">
        <v>0.60097980499267578</v>
      </c>
      <c r="L1035" t="s">
        <v>365</v>
      </c>
      <c r="M1035">
        <v>0.30578959999999999</v>
      </c>
      <c r="N1035" t="s">
        <v>336</v>
      </c>
      <c r="O1035">
        <v>9.1076899999999988E-2</v>
      </c>
      <c r="P1035" t="s">
        <v>673</v>
      </c>
      <c r="Q1035" s="4">
        <v>7.9505909999999999E-2</v>
      </c>
      <c r="R1035" t="s">
        <v>312</v>
      </c>
      <c r="S1035">
        <v>0.18878913999999999</v>
      </c>
      <c r="T1035" t="s">
        <v>66</v>
      </c>
      <c r="U1035">
        <v>6.3318059999999995E-2</v>
      </c>
      <c r="V1035" t="s">
        <v>149</v>
      </c>
      <c r="W1035">
        <v>5.1353704000000007E-2</v>
      </c>
    </row>
    <row r="1036" spans="1:23" x14ac:dyDescent="0.25">
      <c r="A1036" s="3" t="str">
        <f>HYPERLINK("http://ids.si.edu/ids/deliveryService?id=NMAH-AHB2014q045818","NMAH-AHB2014q045818")</f>
        <v>NMAH-AHB2014q045818</v>
      </c>
      <c r="B1036" s="3" t="s">
        <v>2509</v>
      </c>
      <c r="C1036" s="3">
        <v>1298123</v>
      </c>
      <c r="D1036" s="3" t="s">
        <v>1167</v>
      </c>
      <c r="E1036" s="4" t="s">
        <v>2510</v>
      </c>
      <c r="F1036" t="s">
        <v>91</v>
      </c>
      <c r="G1036">
        <v>0.88283330202102661</v>
      </c>
      <c r="H1036" t="s">
        <v>147</v>
      </c>
      <c r="I1036">
        <v>0.76649558544158936</v>
      </c>
      <c r="J1036" t="s">
        <v>256</v>
      </c>
      <c r="K1036" s="4">
        <v>0.74109786748886108</v>
      </c>
      <c r="L1036" t="s">
        <v>184</v>
      </c>
      <c r="M1036">
        <v>0.34357156999999999</v>
      </c>
      <c r="N1036" t="s">
        <v>426</v>
      </c>
      <c r="O1036">
        <v>0.12767333</v>
      </c>
      <c r="P1036" t="s">
        <v>673</v>
      </c>
      <c r="Q1036" s="4">
        <v>0.10111858</v>
      </c>
      <c r="R1036" t="s">
        <v>66</v>
      </c>
      <c r="S1036">
        <v>0.15660146999999999</v>
      </c>
      <c r="T1036" t="s">
        <v>151</v>
      </c>
      <c r="U1036">
        <v>7.9745280000000002E-2</v>
      </c>
      <c r="V1036" t="s">
        <v>209</v>
      </c>
      <c r="W1036">
        <v>7.4519429999999998E-2</v>
      </c>
    </row>
    <row r="1037" spans="1:23" x14ac:dyDescent="0.25">
      <c r="A1037" s="3" t="str">
        <f>HYPERLINK("http://ids.si.edu/ids/deliveryService?id=NMAH-AHB2012q61571","NMAH-AHB2012q61571")</f>
        <v>NMAH-AHB2012q61571</v>
      </c>
      <c r="B1037" s="3" t="s">
        <v>2511</v>
      </c>
      <c r="C1037" s="3">
        <v>1298477</v>
      </c>
      <c r="D1037" s="3" t="s">
        <v>1167</v>
      </c>
      <c r="E1037" s="4" t="s">
        <v>1173</v>
      </c>
      <c r="F1037" t="s">
        <v>91</v>
      </c>
      <c r="G1037">
        <v>0.88283330202102661</v>
      </c>
      <c r="L1037" t="s">
        <v>627</v>
      </c>
      <c r="M1037">
        <v>0.22054794</v>
      </c>
      <c r="N1037" t="s">
        <v>363</v>
      </c>
      <c r="O1037">
        <v>0.18253247</v>
      </c>
      <c r="P1037" t="s">
        <v>312</v>
      </c>
      <c r="Q1037" s="4">
        <v>9.9070030000000003E-2</v>
      </c>
      <c r="R1037" t="s">
        <v>363</v>
      </c>
      <c r="S1037">
        <v>0.79102980000000012</v>
      </c>
      <c r="T1037" t="s">
        <v>689</v>
      </c>
      <c r="U1037">
        <v>2.7922774000000001E-2</v>
      </c>
      <c r="V1037" t="s">
        <v>627</v>
      </c>
      <c r="W1037">
        <v>2.3081622999999999E-2</v>
      </c>
    </row>
    <row r="1038" spans="1:23" x14ac:dyDescent="0.25">
      <c r="A1038" s="3" t="str">
        <f>HYPERLINK("http://ids.si.edu/ids/deliveryService?id=NMAH-AHB2017q050800","NMAH-AHB2017q050800")</f>
        <v>NMAH-AHB2017q050800</v>
      </c>
      <c r="B1038" s="3" t="s">
        <v>2512</v>
      </c>
      <c r="C1038" s="3">
        <v>1183752</v>
      </c>
      <c r="D1038" s="3" t="s">
        <v>1167</v>
      </c>
      <c r="E1038" s="4" t="s">
        <v>2513</v>
      </c>
      <c r="F1038" t="s">
        <v>90</v>
      </c>
      <c r="G1038">
        <v>0.81247824430465698</v>
      </c>
      <c r="H1038" t="s">
        <v>1200</v>
      </c>
      <c r="I1038">
        <v>0.78234201669692993</v>
      </c>
      <c r="J1038" t="s">
        <v>1753</v>
      </c>
      <c r="K1038" s="4">
        <v>0.6495479941368103</v>
      </c>
      <c r="L1038" t="s">
        <v>212</v>
      </c>
      <c r="M1038">
        <v>0.30846372</v>
      </c>
      <c r="N1038" t="s">
        <v>600</v>
      </c>
      <c r="O1038">
        <v>0.14129544999999999</v>
      </c>
      <c r="P1038" t="s">
        <v>442</v>
      </c>
      <c r="Q1038" s="4">
        <v>6.2132590000000001E-2</v>
      </c>
      <c r="R1038" t="s">
        <v>598</v>
      </c>
      <c r="S1038">
        <v>0.29637653000000003</v>
      </c>
      <c r="T1038" t="s">
        <v>597</v>
      </c>
      <c r="U1038">
        <v>0.25181976</v>
      </c>
      <c r="V1038" t="s">
        <v>600</v>
      </c>
      <c r="W1038">
        <v>8.4518869999999996E-2</v>
      </c>
    </row>
    <row r="1039" spans="1:23" x14ac:dyDescent="0.25">
      <c r="A1039" s="3" t="str">
        <f>HYPERLINK("http://ids.si.edu/ids/deliveryService?id=NMAH-AHB2012q63221","NMAH-AHB2012q63221")</f>
        <v>NMAH-AHB2012q63221</v>
      </c>
      <c r="B1039" s="3" t="s">
        <v>2514</v>
      </c>
      <c r="C1039" s="3">
        <v>715847</v>
      </c>
      <c r="D1039" s="3" t="s">
        <v>1167</v>
      </c>
      <c r="E1039" s="4" t="s">
        <v>1173</v>
      </c>
      <c r="F1039" t="s">
        <v>91</v>
      </c>
      <c r="G1039">
        <v>0.94139593839645386</v>
      </c>
      <c r="H1039" t="s">
        <v>725</v>
      </c>
      <c r="I1039">
        <v>0.72032272815704346</v>
      </c>
      <c r="J1039" t="s">
        <v>1016</v>
      </c>
      <c r="K1039" s="4">
        <v>0.71085166931152344</v>
      </c>
      <c r="L1039" t="s">
        <v>253</v>
      </c>
      <c r="M1039">
        <v>0.24150147999999999</v>
      </c>
      <c r="N1039" t="s">
        <v>363</v>
      </c>
      <c r="O1039">
        <v>0.20034162999999999</v>
      </c>
      <c r="P1039" t="s">
        <v>248</v>
      </c>
      <c r="Q1039" s="4">
        <v>0.10638857</v>
      </c>
      <c r="R1039" t="s">
        <v>185</v>
      </c>
      <c r="S1039">
        <v>0.14235954000000001</v>
      </c>
      <c r="T1039" t="s">
        <v>2436</v>
      </c>
      <c r="U1039">
        <v>6.5515649999999995E-2</v>
      </c>
      <c r="V1039" t="s">
        <v>2515</v>
      </c>
      <c r="W1039">
        <v>4.1388469999999997E-2</v>
      </c>
    </row>
    <row r="1040" spans="1:23" x14ac:dyDescent="0.25">
      <c r="A1040" s="3" t="str">
        <f>HYPERLINK("http://ids.si.edu/ids/deliveryService?id=NMAH-AHB2017q059214","NMAH-AHB2017q059214")</f>
        <v>NMAH-AHB2017q059214</v>
      </c>
      <c r="B1040" s="3" t="s">
        <v>2516</v>
      </c>
      <c r="C1040" s="3">
        <v>1328590</v>
      </c>
      <c r="D1040" s="3" t="s">
        <v>1167</v>
      </c>
      <c r="E1040" s="4" t="s">
        <v>661</v>
      </c>
      <c r="F1040" t="s">
        <v>61</v>
      </c>
      <c r="G1040">
        <v>0.86929196119308472</v>
      </c>
      <c r="H1040" t="s">
        <v>486</v>
      </c>
      <c r="I1040">
        <v>0.5052109956741333</v>
      </c>
      <c r="L1040" t="s">
        <v>66</v>
      </c>
      <c r="M1040">
        <v>0.12283208</v>
      </c>
      <c r="N1040" t="s">
        <v>209</v>
      </c>
      <c r="O1040">
        <v>5.7436099999999997E-2</v>
      </c>
      <c r="P1040" t="s">
        <v>571</v>
      </c>
      <c r="Q1040" s="4">
        <v>4.9340729999999999E-2</v>
      </c>
      <c r="R1040" t="s">
        <v>151</v>
      </c>
      <c r="S1040">
        <v>0.30016837000000002</v>
      </c>
      <c r="T1040" t="s">
        <v>66</v>
      </c>
      <c r="U1040">
        <v>0.22688406999999999</v>
      </c>
      <c r="V1040" t="s">
        <v>253</v>
      </c>
      <c r="W1040">
        <v>8.9124549999999997E-2</v>
      </c>
    </row>
    <row r="1041" spans="1:23" x14ac:dyDescent="0.25">
      <c r="A1041" s="3" t="str">
        <f>HYPERLINK("http://ids.si.edu/ids/deliveryService?id=NMAH-AHB2017q060342","NMAH-AHB2017q060342")</f>
        <v>NMAH-AHB2017q060342</v>
      </c>
      <c r="B1041" s="3" t="s">
        <v>2517</v>
      </c>
      <c r="C1041" s="3">
        <v>2827</v>
      </c>
      <c r="D1041" s="3" t="s">
        <v>1167</v>
      </c>
      <c r="E1041" s="4" t="s">
        <v>2518</v>
      </c>
      <c r="F1041" t="s">
        <v>1213</v>
      </c>
      <c r="G1041">
        <v>0.96359932422637939</v>
      </c>
      <c r="H1041" t="s">
        <v>532</v>
      </c>
      <c r="I1041">
        <v>0.83619785308837891</v>
      </c>
      <c r="J1041" t="s">
        <v>2519</v>
      </c>
      <c r="K1041" s="4">
        <v>0.76290786266326904</v>
      </c>
      <c r="L1041" t="s">
        <v>495</v>
      </c>
      <c r="M1041">
        <v>0.2542066</v>
      </c>
      <c r="N1041" t="s">
        <v>151</v>
      </c>
      <c r="O1041">
        <v>0.18239005</v>
      </c>
      <c r="P1041" t="s">
        <v>83</v>
      </c>
      <c r="Q1041" s="4">
        <v>0.11191872</v>
      </c>
      <c r="R1041" t="s">
        <v>495</v>
      </c>
      <c r="S1041">
        <v>0.54395574000000002</v>
      </c>
      <c r="T1041" t="s">
        <v>151</v>
      </c>
      <c r="U1041">
        <v>0.27328685000000003</v>
      </c>
      <c r="V1041" t="s">
        <v>83</v>
      </c>
      <c r="W1041">
        <v>3.9615669999999999E-2</v>
      </c>
    </row>
    <row r="1042" spans="1:23" x14ac:dyDescent="0.25">
      <c r="A1042" s="3" t="str">
        <f>HYPERLINK("http://ids.si.edu/ids/deliveryService?id=NMAH-AHB2012q06384","NMAH-AHB2012q06384")</f>
        <v>NMAH-AHB2012q06384</v>
      </c>
      <c r="B1042" s="3" t="s">
        <v>2520</v>
      </c>
      <c r="C1042" s="3">
        <v>1000955</v>
      </c>
      <c r="D1042" s="3" t="s">
        <v>1167</v>
      </c>
      <c r="E1042" s="4" t="s">
        <v>2500</v>
      </c>
      <c r="F1042" t="s">
        <v>2521</v>
      </c>
      <c r="G1042">
        <v>0.79315012693405151</v>
      </c>
      <c r="H1042" t="s">
        <v>2522</v>
      </c>
      <c r="I1042">
        <v>0.73898863792419434</v>
      </c>
      <c r="J1042" t="s">
        <v>2523</v>
      </c>
      <c r="K1042" s="4">
        <v>0.70202624797821045</v>
      </c>
      <c r="L1042" t="s">
        <v>253</v>
      </c>
      <c r="M1042">
        <v>0.92667299999999997</v>
      </c>
      <c r="N1042" t="s">
        <v>152</v>
      </c>
      <c r="O1042">
        <v>3.7817758E-2</v>
      </c>
      <c r="P1042" t="s">
        <v>363</v>
      </c>
      <c r="Q1042" s="4">
        <v>1.2158510000000001E-2</v>
      </c>
      <c r="R1042" t="s">
        <v>253</v>
      </c>
      <c r="S1042">
        <v>0.4970754</v>
      </c>
      <c r="T1042" t="s">
        <v>363</v>
      </c>
      <c r="U1042">
        <v>0.16259097</v>
      </c>
      <c r="V1042" t="s">
        <v>689</v>
      </c>
      <c r="W1042">
        <v>0.14194588</v>
      </c>
    </row>
    <row r="1043" spans="1:23" x14ac:dyDescent="0.25">
      <c r="A1043" s="3" t="str">
        <f>HYPERLINK("http://ids.si.edu/ids/deliveryService?id=NMAH-AHB2013q072972","NMAH-AHB2013q072972")</f>
        <v>NMAH-AHB2013q072972</v>
      </c>
      <c r="B1043" s="3" t="s">
        <v>2524</v>
      </c>
      <c r="C1043" s="3">
        <v>738625</v>
      </c>
      <c r="D1043" s="3" t="s">
        <v>1167</v>
      </c>
      <c r="E1043" s="4" t="s">
        <v>2525</v>
      </c>
      <c r="F1043" t="s">
        <v>91</v>
      </c>
      <c r="G1043">
        <v>0.93479853868484497</v>
      </c>
      <c r="H1043" t="s">
        <v>1174</v>
      </c>
      <c r="I1043">
        <v>0.9067537784576416</v>
      </c>
      <c r="J1043" t="s">
        <v>2526</v>
      </c>
      <c r="K1043" s="4">
        <v>0.88682061433792114</v>
      </c>
      <c r="L1043" t="s">
        <v>362</v>
      </c>
      <c r="M1043">
        <v>0.64368179999999997</v>
      </c>
      <c r="N1043" t="s">
        <v>821</v>
      </c>
      <c r="O1043">
        <v>0.17726844999999999</v>
      </c>
      <c r="P1043" t="s">
        <v>1163</v>
      </c>
      <c r="Q1043" s="4">
        <v>9.0614155000000002E-2</v>
      </c>
      <c r="R1043" t="s">
        <v>363</v>
      </c>
      <c r="S1043">
        <v>0.39484723999999999</v>
      </c>
      <c r="T1043" t="s">
        <v>362</v>
      </c>
      <c r="U1043">
        <v>6.8059235999999995E-2</v>
      </c>
      <c r="V1043" t="s">
        <v>627</v>
      </c>
      <c r="W1043">
        <v>5.7928769999999997E-2</v>
      </c>
    </row>
    <row r="1044" spans="1:23" x14ac:dyDescent="0.25">
      <c r="A1044" s="3" t="str">
        <f>HYPERLINK("http://ids.si.edu/ids/deliveryService?id=NMAH-AHB2017q052035","NMAH-AHB2017q052035")</f>
        <v>NMAH-AHB2017q052035</v>
      </c>
      <c r="B1044" s="3" t="s">
        <v>2527</v>
      </c>
      <c r="C1044" s="3">
        <v>1420925</v>
      </c>
      <c r="D1044" s="3" t="s">
        <v>1167</v>
      </c>
      <c r="E1044" s="4" t="s">
        <v>1195</v>
      </c>
      <c r="F1044" t="s">
        <v>441</v>
      </c>
      <c r="G1044">
        <v>0.6757805347442627</v>
      </c>
      <c r="H1044" t="s">
        <v>615</v>
      </c>
      <c r="I1044">
        <v>0.60989159345626831</v>
      </c>
      <c r="J1044" t="s">
        <v>748</v>
      </c>
      <c r="K1044" s="4">
        <v>0.50640857219696045</v>
      </c>
      <c r="L1044" t="s">
        <v>82</v>
      </c>
      <c r="M1044">
        <v>0.42123765000000002</v>
      </c>
      <c r="N1044" t="s">
        <v>84</v>
      </c>
      <c r="O1044">
        <v>0.16191306999999999</v>
      </c>
      <c r="P1044" t="s">
        <v>83</v>
      </c>
      <c r="Q1044" s="4">
        <v>3.5283233999999997E-2</v>
      </c>
      <c r="R1044" t="s">
        <v>82</v>
      </c>
      <c r="S1044">
        <v>0.21464773000000001</v>
      </c>
      <c r="T1044" t="s">
        <v>369</v>
      </c>
      <c r="U1044">
        <v>0.11110212999999999</v>
      </c>
      <c r="V1044" t="s">
        <v>84</v>
      </c>
      <c r="W1044">
        <v>9.7785449999999996E-2</v>
      </c>
    </row>
    <row r="1045" spans="1:23" x14ac:dyDescent="0.25">
      <c r="A1045" s="3" t="str">
        <f>HYPERLINK("http://ids.si.edu/ids/deliveryService?id=NMAH-AHB2012q64618","NMAH-AHB2012q64618")</f>
        <v>NMAH-AHB2012q64618</v>
      </c>
      <c r="B1045" s="3" t="s">
        <v>2528</v>
      </c>
      <c r="C1045" s="3">
        <v>715849</v>
      </c>
      <c r="D1045" s="3" t="s">
        <v>1167</v>
      </c>
      <c r="E1045" s="4" t="s">
        <v>1173</v>
      </c>
      <c r="F1045" t="s">
        <v>1325</v>
      </c>
      <c r="G1045">
        <v>0.96279454231262207</v>
      </c>
      <c r="H1045" t="s">
        <v>91</v>
      </c>
      <c r="I1045">
        <v>0.88283330202102661</v>
      </c>
      <c r="J1045" t="s">
        <v>1174</v>
      </c>
      <c r="K1045" s="4">
        <v>0.80247586965560913</v>
      </c>
      <c r="L1045" t="s">
        <v>571</v>
      </c>
      <c r="M1045">
        <v>0.11630407</v>
      </c>
      <c r="N1045" t="s">
        <v>239</v>
      </c>
      <c r="O1045">
        <v>0.11424222000000001</v>
      </c>
      <c r="P1045" t="s">
        <v>1338</v>
      </c>
      <c r="Q1045" s="4">
        <v>7.2913779999999997E-2</v>
      </c>
      <c r="R1045" t="s">
        <v>312</v>
      </c>
      <c r="S1045">
        <v>0.24851191</v>
      </c>
      <c r="T1045" t="s">
        <v>363</v>
      </c>
      <c r="U1045">
        <v>0.15637013</v>
      </c>
      <c r="V1045" t="s">
        <v>627</v>
      </c>
      <c r="W1045">
        <v>8.2841374000000009E-2</v>
      </c>
    </row>
    <row r="1046" spans="1:23" x14ac:dyDescent="0.25">
      <c r="A1046" s="3" t="str">
        <f>HYPERLINK("http://ids.si.edu/ids/deliveryService?id=NMAH-AHB2017q125632","NMAH-AHB2017q125632")</f>
        <v>NMAH-AHB2017q125632</v>
      </c>
      <c r="B1046" s="3" t="s">
        <v>2529</v>
      </c>
      <c r="C1046" s="3">
        <v>1409444</v>
      </c>
      <c r="D1046" s="3" t="s">
        <v>1167</v>
      </c>
      <c r="E1046" s="4" t="s">
        <v>2530</v>
      </c>
      <c r="F1046" t="s">
        <v>595</v>
      </c>
      <c r="G1046">
        <v>0.84048241376876831</v>
      </c>
      <c r="H1046" t="s">
        <v>2531</v>
      </c>
      <c r="I1046">
        <v>0.79176497459411621</v>
      </c>
      <c r="J1046" t="s">
        <v>388</v>
      </c>
      <c r="K1046" s="4">
        <v>0.78111380338668823</v>
      </c>
      <c r="L1046" t="s">
        <v>1125</v>
      </c>
      <c r="M1046">
        <v>0.76876025999999997</v>
      </c>
      <c r="N1046" t="s">
        <v>391</v>
      </c>
      <c r="O1046">
        <v>0.11459799</v>
      </c>
      <c r="P1046" t="s">
        <v>148</v>
      </c>
      <c r="Q1046" s="4">
        <v>6.556128E-2</v>
      </c>
      <c r="R1046" t="s">
        <v>392</v>
      </c>
      <c r="S1046">
        <v>0.60940634999999999</v>
      </c>
      <c r="T1046" t="s">
        <v>391</v>
      </c>
      <c r="U1046">
        <v>0.12597296999999999</v>
      </c>
      <c r="V1046" t="s">
        <v>148</v>
      </c>
      <c r="W1046">
        <v>9.0590710000000005E-2</v>
      </c>
    </row>
    <row r="1047" spans="1:23" x14ac:dyDescent="0.25">
      <c r="A1047" s="3" t="str">
        <f>HYPERLINK("http://ids.si.edu/ids/deliveryService?id=NMAH-AHB2017q059335","NMAH-AHB2017q059335")</f>
        <v>NMAH-AHB2017q059335</v>
      </c>
      <c r="B1047" s="3" t="s">
        <v>2532</v>
      </c>
      <c r="C1047" s="3">
        <v>1323220</v>
      </c>
      <c r="D1047" s="3" t="s">
        <v>1167</v>
      </c>
      <c r="E1047" s="4" t="s">
        <v>2533</v>
      </c>
      <c r="F1047" t="s">
        <v>525</v>
      </c>
      <c r="G1047">
        <v>0.84208792448043823</v>
      </c>
      <c r="H1047" t="s">
        <v>2233</v>
      </c>
      <c r="I1047">
        <v>0.58033299446105957</v>
      </c>
      <c r="J1047" t="s">
        <v>38</v>
      </c>
      <c r="K1047" s="4">
        <v>0.57686591148376465</v>
      </c>
      <c r="L1047" t="s">
        <v>460</v>
      </c>
      <c r="M1047">
        <v>0.11259613</v>
      </c>
      <c r="N1047" t="s">
        <v>149</v>
      </c>
      <c r="O1047">
        <v>5.333885E-2</v>
      </c>
      <c r="P1047" t="s">
        <v>65</v>
      </c>
      <c r="Q1047" s="4">
        <v>4.2196218000000001E-2</v>
      </c>
      <c r="R1047" t="s">
        <v>66</v>
      </c>
      <c r="S1047">
        <v>0.17009115</v>
      </c>
      <c r="T1047" t="s">
        <v>151</v>
      </c>
      <c r="U1047">
        <v>4.9330287E-2</v>
      </c>
      <c r="V1047" t="s">
        <v>369</v>
      </c>
      <c r="W1047">
        <v>3.9912129999999997E-2</v>
      </c>
    </row>
    <row r="1048" spans="1:23" x14ac:dyDescent="0.25">
      <c r="A1048" s="3" t="str">
        <f>HYPERLINK("http://ids.si.edu/ids/deliveryService?id=NMAH-AHB2009q11490","NMAH-AHB2009q11490")</f>
        <v>NMAH-AHB2009q11490</v>
      </c>
      <c r="B1048" s="3" t="s">
        <v>2534</v>
      </c>
      <c r="C1048" s="3">
        <v>994072</v>
      </c>
      <c r="D1048" s="3" t="s">
        <v>1167</v>
      </c>
      <c r="E1048" s="4" t="s">
        <v>213</v>
      </c>
      <c r="F1048" t="s">
        <v>50</v>
      </c>
      <c r="G1048">
        <v>0.88603556156158447</v>
      </c>
      <c r="H1048" t="s">
        <v>49</v>
      </c>
      <c r="I1048">
        <v>0.85858619213104248</v>
      </c>
      <c r="J1048" t="s">
        <v>415</v>
      </c>
      <c r="K1048" s="4">
        <v>0.79803586006164551</v>
      </c>
      <c r="L1048" t="s">
        <v>213</v>
      </c>
      <c r="M1048">
        <v>0.76763797</v>
      </c>
      <c r="N1048" t="s">
        <v>416</v>
      </c>
      <c r="O1048">
        <v>7.1246569999999995E-2</v>
      </c>
      <c r="P1048" t="s">
        <v>86</v>
      </c>
      <c r="Q1048" s="4">
        <v>4.247306E-2</v>
      </c>
      <c r="R1048" t="s">
        <v>213</v>
      </c>
      <c r="S1048">
        <v>0.99430483999999997</v>
      </c>
      <c r="T1048" t="s">
        <v>464</v>
      </c>
      <c r="U1048">
        <v>1.1231979999999999E-3</v>
      </c>
      <c r="V1048" t="s">
        <v>86</v>
      </c>
      <c r="W1048">
        <v>1.0784747000000001E-3</v>
      </c>
    </row>
    <row r="1049" spans="1:23" x14ac:dyDescent="0.25">
      <c r="A1049" s="3" t="str">
        <f>HYPERLINK("http://ids.si.edu/ids/deliveryService?id=NMAH-AHB2012q63092","NMAH-AHB2012q63092")</f>
        <v>NMAH-AHB2012q63092</v>
      </c>
      <c r="B1049" s="3" t="s">
        <v>2535</v>
      </c>
      <c r="C1049" s="3">
        <v>716272</v>
      </c>
      <c r="D1049" s="3" t="s">
        <v>1167</v>
      </c>
      <c r="E1049" s="4" t="s">
        <v>1173</v>
      </c>
      <c r="F1049" t="s">
        <v>1280</v>
      </c>
      <c r="G1049">
        <v>0.95211261510848999</v>
      </c>
      <c r="H1049" t="s">
        <v>91</v>
      </c>
      <c r="I1049">
        <v>0.95000046491622925</v>
      </c>
      <c r="J1049" t="s">
        <v>1174</v>
      </c>
      <c r="K1049" s="4">
        <v>0.92660856246948242</v>
      </c>
      <c r="L1049" t="s">
        <v>95</v>
      </c>
      <c r="M1049">
        <v>0.63025550000000008</v>
      </c>
      <c r="N1049" t="s">
        <v>312</v>
      </c>
      <c r="O1049">
        <v>8.8782884000000006E-2</v>
      </c>
      <c r="P1049" t="s">
        <v>923</v>
      </c>
      <c r="Q1049" s="4">
        <v>6.8172189999999994E-2</v>
      </c>
      <c r="R1049" t="s">
        <v>95</v>
      </c>
      <c r="S1049">
        <v>0.30452076</v>
      </c>
      <c r="T1049" t="s">
        <v>312</v>
      </c>
      <c r="U1049">
        <v>0.25245875000000001</v>
      </c>
      <c r="V1049" t="s">
        <v>113</v>
      </c>
      <c r="W1049">
        <v>0.10389145</v>
      </c>
    </row>
    <row r="1050" spans="1:23" x14ac:dyDescent="0.25">
      <c r="A1050" s="3" t="str">
        <f>HYPERLINK("http://ids.si.edu/ids/deliveryService?id=NMAH-AHB2012q68751-000001","NMAH-AHB2012q68751-000001")</f>
        <v>NMAH-AHB2012q68751-000001</v>
      </c>
      <c r="B1050" s="3" t="s">
        <v>2536</v>
      </c>
      <c r="C1050" s="3">
        <v>715741</v>
      </c>
      <c r="D1050" s="3" t="s">
        <v>1167</v>
      </c>
      <c r="E1050" s="4" t="s">
        <v>1173</v>
      </c>
      <c r="F1050" t="s">
        <v>486</v>
      </c>
      <c r="G1050">
        <v>0.56377756595611572</v>
      </c>
      <c r="H1050" t="s">
        <v>50</v>
      </c>
      <c r="I1050">
        <v>0.5114516019821167</v>
      </c>
      <c r="L1050" t="s">
        <v>190</v>
      </c>
      <c r="M1050">
        <v>0.31118885000000002</v>
      </c>
      <c r="N1050" t="s">
        <v>66</v>
      </c>
      <c r="O1050">
        <v>0.17094792</v>
      </c>
      <c r="P1050" t="s">
        <v>151</v>
      </c>
      <c r="Q1050" s="4">
        <v>6.5027950000000001E-2</v>
      </c>
      <c r="R1050" t="s">
        <v>151</v>
      </c>
      <c r="S1050">
        <v>0.24948138</v>
      </c>
      <c r="T1050" t="s">
        <v>363</v>
      </c>
      <c r="U1050">
        <v>0.17167531</v>
      </c>
      <c r="V1050" t="s">
        <v>66</v>
      </c>
      <c r="W1050">
        <v>6.1140403000000003E-2</v>
      </c>
    </row>
    <row r="1051" spans="1:23" x14ac:dyDescent="0.25">
      <c r="A1051" s="3" t="str">
        <f>HYPERLINK("http://ids.si.edu/ids/deliveryService?id=NMAH-AHB2012q63816","NMAH-AHB2012q63816")</f>
        <v>NMAH-AHB2012q63816</v>
      </c>
      <c r="B1051" s="3" t="s">
        <v>2537</v>
      </c>
      <c r="C1051" s="3">
        <v>211544</v>
      </c>
      <c r="D1051" s="3" t="s">
        <v>1167</v>
      </c>
      <c r="E1051" s="4" t="s">
        <v>2538</v>
      </c>
      <c r="F1051" t="s">
        <v>147</v>
      </c>
      <c r="G1051">
        <v>0.97455370426177979</v>
      </c>
      <c r="H1051" t="s">
        <v>256</v>
      </c>
      <c r="I1051">
        <v>0.79512971639633179</v>
      </c>
      <c r="J1051" t="s">
        <v>996</v>
      </c>
      <c r="K1051" s="4">
        <v>0.67379951477050781</v>
      </c>
      <c r="L1051" t="s">
        <v>184</v>
      </c>
      <c r="M1051">
        <v>0.71182513000000003</v>
      </c>
      <c r="N1051" t="s">
        <v>152</v>
      </c>
      <c r="O1051">
        <v>0.1813997</v>
      </c>
      <c r="P1051" t="s">
        <v>673</v>
      </c>
      <c r="Q1051" s="4">
        <v>4.6793595E-2</v>
      </c>
      <c r="R1051" t="s">
        <v>184</v>
      </c>
      <c r="S1051">
        <v>0.62211669999999997</v>
      </c>
      <c r="T1051" t="s">
        <v>673</v>
      </c>
      <c r="U1051">
        <v>0.26317874000000002</v>
      </c>
      <c r="V1051" t="s">
        <v>152</v>
      </c>
      <c r="W1051">
        <v>8.9395285000000005E-2</v>
      </c>
    </row>
    <row r="1052" spans="1:23" x14ac:dyDescent="0.25">
      <c r="A1052" s="3" t="str">
        <f>HYPERLINK("http://ids.si.edu/ids/deliveryService?id=NMAH-AHB2013q074887","NMAH-AHB2013q074887")</f>
        <v>NMAH-AHB2013q074887</v>
      </c>
      <c r="B1052" s="3" t="s">
        <v>2539</v>
      </c>
      <c r="C1052" s="3">
        <v>1298038</v>
      </c>
      <c r="D1052" s="3" t="s">
        <v>1167</v>
      </c>
      <c r="E1052" s="4" t="s">
        <v>2540</v>
      </c>
      <c r="F1052" t="s">
        <v>1280</v>
      </c>
      <c r="G1052">
        <v>0.97982770204544067</v>
      </c>
      <c r="H1052" t="s">
        <v>1174</v>
      </c>
      <c r="I1052">
        <v>0.97764015197753906</v>
      </c>
      <c r="J1052" t="s">
        <v>1188</v>
      </c>
      <c r="K1052" s="4">
        <v>0.95606309175491333</v>
      </c>
      <c r="L1052" t="s">
        <v>1163</v>
      </c>
      <c r="M1052">
        <v>0.39010212</v>
      </c>
      <c r="N1052" t="s">
        <v>1042</v>
      </c>
      <c r="O1052">
        <v>0.18376751</v>
      </c>
      <c r="P1052" t="s">
        <v>362</v>
      </c>
      <c r="Q1052" s="4">
        <v>5.1878817000000001E-2</v>
      </c>
      <c r="R1052" t="s">
        <v>1042</v>
      </c>
      <c r="S1052">
        <v>0.34437122999999997</v>
      </c>
      <c r="T1052" t="s">
        <v>1163</v>
      </c>
      <c r="U1052">
        <v>0.14133114999999999</v>
      </c>
      <c r="V1052" t="s">
        <v>312</v>
      </c>
      <c r="W1052">
        <v>0.13465299</v>
      </c>
    </row>
    <row r="1053" spans="1:23" x14ac:dyDescent="0.25">
      <c r="A1053" s="3" t="str">
        <f>HYPERLINK("http://ids.si.edu/ids/deliveryService?id=NMAH-AHB2017q057294","NMAH-AHB2017q057294")</f>
        <v>NMAH-AHB2017q057294</v>
      </c>
      <c r="B1053" s="3" t="s">
        <v>2541</v>
      </c>
      <c r="C1053" s="3">
        <v>1347468</v>
      </c>
      <c r="D1053" s="3" t="s">
        <v>1167</v>
      </c>
      <c r="E1053" s="4" t="s">
        <v>2542</v>
      </c>
      <c r="F1053" t="s">
        <v>91</v>
      </c>
      <c r="G1053">
        <v>0.88283330202102661</v>
      </c>
      <c r="H1053" t="s">
        <v>2543</v>
      </c>
      <c r="I1053">
        <v>0.8611140251159668</v>
      </c>
      <c r="J1053" t="s">
        <v>38</v>
      </c>
      <c r="K1053" s="4">
        <v>0.55728942155838013</v>
      </c>
      <c r="L1053" t="s">
        <v>185</v>
      </c>
      <c r="M1053">
        <v>0.76419069999999989</v>
      </c>
      <c r="N1053" t="s">
        <v>460</v>
      </c>
      <c r="O1053">
        <v>7.9062660000000007E-2</v>
      </c>
      <c r="P1053" t="s">
        <v>151</v>
      </c>
      <c r="Q1053" s="4">
        <v>5.8843146999999998E-2</v>
      </c>
      <c r="R1053" t="s">
        <v>151</v>
      </c>
      <c r="S1053">
        <v>0.24160973999999999</v>
      </c>
      <c r="T1053" t="s">
        <v>685</v>
      </c>
      <c r="U1053">
        <v>0.16949897</v>
      </c>
      <c r="V1053" t="s">
        <v>460</v>
      </c>
      <c r="W1053">
        <v>0.14812597999999999</v>
      </c>
    </row>
    <row r="1054" spans="1:23" x14ac:dyDescent="0.25">
      <c r="A1054" s="3" t="str">
        <f>HYPERLINK("http://ids.si.edu/ids/deliveryService?id=NMAH-AHB2012q06477","NMAH-AHB2012q06477")</f>
        <v>NMAH-AHB2012q06477</v>
      </c>
      <c r="B1054" s="3" t="s">
        <v>2544</v>
      </c>
      <c r="C1054" s="3">
        <v>333313</v>
      </c>
      <c r="D1054" s="3" t="s">
        <v>1167</v>
      </c>
      <c r="E1054" s="4" t="s">
        <v>2545</v>
      </c>
      <c r="F1054" t="s">
        <v>101</v>
      </c>
      <c r="G1054">
        <v>0.96543914079666138</v>
      </c>
      <c r="H1054" t="s">
        <v>1525</v>
      </c>
      <c r="I1054">
        <v>0.94745147228240967</v>
      </c>
      <c r="J1054" t="s">
        <v>271</v>
      </c>
      <c r="K1054" s="4">
        <v>0.91184282302856445</v>
      </c>
      <c r="L1054" t="s">
        <v>134</v>
      </c>
      <c r="M1054">
        <v>0.96441699999999997</v>
      </c>
      <c r="N1054" t="s">
        <v>209</v>
      </c>
      <c r="O1054">
        <v>1.1568841999999999E-2</v>
      </c>
      <c r="P1054" t="s">
        <v>44</v>
      </c>
      <c r="Q1054" s="4">
        <v>1.0944953E-2</v>
      </c>
      <c r="R1054" t="s">
        <v>134</v>
      </c>
      <c r="S1054">
        <v>0.7114028</v>
      </c>
      <c r="T1054" t="s">
        <v>44</v>
      </c>
      <c r="U1054">
        <v>0.16550857999999999</v>
      </c>
      <c r="V1054" t="s">
        <v>198</v>
      </c>
      <c r="W1054">
        <v>8.5759885999999994E-2</v>
      </c>
    </row>
    <row r="1055" spans="1:23" x14ac:dyDescent="0.25">
      <c r="A1055" s="3" t="str">
        <f>HYPERLINK("http://ids.si.edu/ids/deliveryService?id=NMAH-AHB2017q059370","NMAH-AHB2017q059370")</f>
        <v>NMAH-AHB2017q059370</v>
      </c>
      <c r="B1055" s="3" t="s">
        <v>2546</v>
      </c>
      <c r="C1055" s="3">
        <v>1331124</v>
      </c>
      <c r="D1055" s="3" t="s">
        <v>1167</v>
      </c>
      <c r="E1055" s="4" t="s">
        <v>650</v>
      </c>
      <c r="F1055" t="s">
        <v>61</v>
      </c>
      <c r="G1055">
        <v>0.9157753586769104</v>
      </c>
      <c r="H1055" t="s">
        <v>112</v>
      </c>
      <c r="I1055">
        <v>0.83145445585250854</v>
      </c>
      <c r="J1055" t="s">
        <v>486</v>
      </c>
      <c r="K1055" s="4">
        <v>0.56377756595611572</v>
      </c>
      <c r="L1055" t="s">
        <v>1338</v>
      </c>
      <c r="M1055">
        <v>8.0991220000000003E-2</v>
      </c>
      <c r="N1055" t="s">
        <v>571</v>
      </c>
      <c r="O1055">
        <v>7.6729484000000001E-2</v>
      </c>
      <c r="P1055" t="s">
        <v>1206</v>
      </c>
      <c r="Q1055" s="4">
        <v>6.7395339999999998E-2</v>
      </c>
      <c r="R1055" t="s">
        <v>151</v>
      </c>
      <c r="S1055">
        <v>0.53798615999999999</v>
      </c>
      <c r="T1055" t="s">
        <v>260</v>
      </c>
      <c r="U1055">
        <v>6.8398564999999995E-2</v>
      </c>
      <c r="V1055" t="s">
        <v>389</v>
      </c>
      <c r="W1055">
        <v>3.0218780000000001E-2</v>
      </c>
    </row>
    <row r="1056" spans="1:23" x14ac:dyDescent="0.25">
      <c r="A1056" s="3" t="str">
        <f>HYPERLINK("http://ids.si.edu/ids/deliveryService?id=NMAH-AHB2013q074925","NMAH-AHB2013q074925")</f>
        <v>NMAH-AHB2013q074925</v>
      </c>
      <c r="B1056" s="3" t="s">
        <v>2547</v>
      </c>
      <c r="C1056" s="3">
        <v>716415</v>
      </c>
      <c r="D1056" s="3" t="s">
        <v>1167</v>
      </c>
      <c r="E1056" s="4" t="s">
        <v>2540</v>
      </c>
      <c r="F1056" t="s">
        <v>91</v>
      </c>
      <c r="G1056">
        <v>0.95741260051727295</v>
      </c>
      <c r="H1056" t="s">
        <v>1187</v>
      </c>
      <c r="I1056">
        <v>0.80529403686523438</v>
      </c>
      <c r="J1056" t="s">
        <v>1174</v>
      </c>
      <c r="K1056" s="4">
        <v>0.70539665222167969</v>
      </c>
      <c r="L1056" t="s">
        <v>95</v>
      </c>
      <c r="M1056">
        <v>0.41197201999999999</v>
      </c>
      <c r="N1056" t="s">
        <v>923</v>
      </c>
      <c r="O1056">
        <v>0.10489523000000001</v>
      </c>
      <c r="P1056" t="s">
        <v>627</v>
      </c>
      <c r="Q1056" s="4">
        <v>0.10260194</v>
      </c>
      <c r="R1056" t="s">
        <v>627</v>
      </c>
      <c r="S1056">
        <v>0.19967623000000001</v>
      </c>
      <c r="T1056" t="s">
        <v>312</v>
      </c>
      <c r="U1056">
        <v>0.15972833</v>
      </c>
      <c r="V1056" t="s">
        <v>365</v>
      </c>
      <c r="W1056">
        <v>0.10909502</v>
      </c>
    </row>
    <row r="1057" spans="1:23" x14ac:dyDescent="0.25">
      <c r="A1057" s="3" t="str">
        <f>HYPERLINK("http://ids.si.edu/ids/deliveryService?id=NMAH-AHB2012q63179","NMAH-AHB2012q63179")</f>
        <v>NMAH-AHB2012q63179</v>
      </c>
      <c r="B1057" s="3" t="s">
        <v>2548</v>
      </c>
      <c r="C1057" s="3">
        <v>1298585</v>
      </c>
      <c r="D1057" s="3" t="s">
        <v>1167</v>
      </c>
      <c r="E1057" s="4" t="s">
        <v>1173</v>
      </c>
      <c r="F1057" t="s">
        <v>91</v>
      </c>
      <c r="G1057">
        <v>0.95297396183013916</v>
      </c>
      <c r="H1057" t="s">
        <v>892</v>
      </c>
      <c r="I1057">
        <v>0.83325403928756714</v>
      </c>
      <c r="J1057" t="s">
        <v>2549</v>
      </c>
      <c r="K1057" s="4">
        <v>0.75855880975723267</v>
      </c>
      <c r="L1057" t="s">
        <v>363</v>
      </c>
      <c r="M1057">
        <v>0.89044093999999996</v>
      </c>
      <c r="N1057" t="s">
        <v>113</v>
      </c>
      <c r="O1057">
        <v>6.1036109999999998E-2</v>
      </c>
      <c r="P1057" t="s">
        <v>362</v>
      </c>
      <c r="Q1057" s="4">
        <v>6.9715760000000002E-3</v>
      </c>
      <c r="R1057" t="s">
        <v>363</v>
      </c>
      <c r="S1057">
        <v>0.94017759999999995</v>
      </c>
      <c r="T1057" t="s">
        <v>225</v>
      </c>
      <c r="U1057">
        <v>1.8657924999999999E-2</v>
      </c>
      <c r="V1057" t="s">
        <v>689</v>
      </c>
      <c r="W1057">
        <v>6.1050820000000004E-3</v>
      </c>
    </row>
    <row r="1058" spans="1:23" x14ac:dyDescent="0.25">
      <c r="A1058" s="3" t="str">
        <f>HYPERLINK("http://ids.si.edu/ids/deliveryService?id=NMAH-AHB2017q052278","NMAH-AHB2017q052278")</f>
        <v>NMAH-AHB2017q052278</v>
      </c>
      <c r="B1058" s="3" t="s">
        <v>2550</v>
      </c>
      <c r="C1058" s="3">
        <v>745881</v>
      </c>
      <c r="D1058" s="3" t="s">
        <v>1167</v>
      </c>
      <c r="E1058" s="4" t="s">
        <v>1234</v>
      </c>
      <c r="F1058" t="s">
        <v>595</v>
      </c>
      <c r="G1058">
        <v>0.81628376245498657</v>
      </c>
      <c r="H1058" t="s">
        <v>50</v>
      </c>
      <c r="I1058">
        <v>0.71872144937515259</v>
      </c>
      <c r="J1058" t="s">
        <v>347</v>
      </c>
      <c r="K1058" s="4">
        <v>0.66217827796936035</v>
      </c>
      <c r="L1058" t="s">
        <v>442</v>
      </c>
      <c r="M1058">
        <v>0.89604216999999997</v>
      </c>
      <c r="N1058" t="s">
        <v>212</v>
      </c>
      <c r="O1058">
        <v>2.0092578999999999E-2</v>
      </c>
      <c r="P1058" t="s">
        <v>572</v>
      </c>
      <c r="Q1058" s="4">
        <v>1.7887792999999999E-2</v>
      </c>
      <c r="R1058" t="s">
        <v>258</v>
      </c>
      <c r="S1058">
        <v>0.25285614000000001</v>
      </c>
      <c r="T1058" t="s">
        <v>442</v>
      </c>
      <c r="U1058">
        <v>0.18340445</v>
      </c>
      <c r="V1058" t="s">
        <v>572</v>
      </c>
      <c r="W1058">
        <v>0.11918987</v>
      </c>
    </row>
    <row r="1059" spans="1:23" x14ac:dyDescent="0.25">
      <c r="A1059" s="3" t="str">
        <f>HYPERLINK("http://ids.si.edu/ids/deliveryService?id=NMAH-AHB2012q64549","NMAH-AHB2012q64549")</f>
        <v>NMAH-AHB2012q64549</v>
      </c>
      <c r="B1059" s="3" t="s">
        <v>2551</v>
      </c>
      <c r="C1059" s="3">
        <v>1301320</v>
      </c>
      <c r="D1059" s="3" t="s">
        <v>1167</v>
      </c>
      <c r="E1059" s="4" t="s">
        <v>1173</v>
      </c>
      <c r="F1059" t="s">
        <v>132</v>
      </c>
      <c r="G1059">
        <v>0.91388905048370361</v>
      </c>
      <c r="H1059" t="s">
        <v>61</v>
      </c>
      <c r="I1059">
        <v>0.86929196119308472</v>
      </c>
      <c r="J1059" t="s">
        <v>112</v>
      </c>
      <c r="K1059" s="4">
        <v>0.74956268072128296</v>
      </c>
      <c r="L1059" t="s">
        <v>190</v>
      </c>
      <c r="M1059">
        <v>0.25774235000000001</v>
      </c>
      <c r="N1059" t="s">
        <v>151</v>
      </c>
      <c r="O1059">
        <v>9.3022615000000003E-2</v>
      </c>
      <c r="P1059" t="s">
        <v>2552</v>
      </c>
      <c r="Q1059" s="4">
        <v>5.7779684999999997E-2</v>
      </c>
      <c r="R1059" t="s">
        <v>444</v>
      </c>
      <c r="S1059">
        <v>0.57705480000000009</v>
      </c>
      <c r="T1059" t="s">
        <v>31</v>
      </c>
      <c r="U1059">
        <v>0.20815659</v>
      </c>
      <c r="V1059" t="s">
        <v>151</v>
      </c>
      <c r="W1059">
        <v>3.2549990000000001E-2</v>
      </c>
    </row>
    <row r="1060" spans="1:23" x14ac:dyDescent="0.25">
      <c r="A1060" s="3" t="str">
        <f>HYPERLINK("http://ids.si.edu/ids/deliveryService?id=NMAH-AHB2017q048622","NMAH-AHB2017q048622")</f>
        <v>NMAH-AHB2017q048622</v>
      </c>
      <c r="B1060" s="3" t="s">
        <v>2553</v>
      </c>
      <c r="C1060" s="3">
        <v>579</v>
      </c>
      <c r="D1060" s="3" t="s">
        <v>1167</v>
      </c>
      <c r="E1060" s="4" t="s">
        <v>2554</v>
      </c>
      <c r="F1060" t="s">
        <v>61</v>
      </c>
      <c r="G1060">
        <v>0.91213947534561157</v>
      </c>
      <c r="H1060" t="s">
        <v>112</v>
      </c>
      <c r="I1060">
        <v>0.68572378158569336</v>
      </c>
      <c r="J1060" t="s">
        <v>447</v>
      </c>
      <c r="K1060" s="4">
        <v>0.55715835094451904</v>
      </c>
      <c r="L1060" t="s">
        <v>66</v>
      </c>
      <c r="M1060">
        <v>0.41001116999999998</v>
      </c>
      <c r="N1060" t="s">
        <v>83</v>
      </c>
      <c r="O1060">
        <v>5.4359940000000002E-2</v>
      </c>
      <c r="P1060" t="s">
        <v>52</v>
      </c>
      <c r="Q1060" s="4">
        <v>3.4292313999999997E-2</v>
      </c>
      <c r="R1060" t="s">
        <v>66</v>
      </c>
      <c r="S1060">
        <v>0.22151418</v>
      </c>
      <c r="T1060" t="s">
        <v>209</v>
      </c>
      <c r="U1060">
        <v>0.120740734</v>
      </c>
      <c r="V1060" t="s">
        <v>151</v>
      </c>
      <c r="W1060">
        <v>0.10657263</v>
      </c>
    </row>
    <row r="1061" spans="1:23" x14ac:dyDescent="0.25">
      <c r="A1061" s="3" t="str">
        <f>HYPERLINK("http://ids.si.edu/ids/deliveryService?id=NMAH-AHB2017q059445","NMAH-AHB2017q059445")</f>
        <v>NMAH-AHB2017q059445</v>
      </c>
      <c r="B1061" s="3" t="s">
        <v>2555</v>
      </c>
      <c r="C1061" s="3">
        <v>1332595</v>
      </c>
      <c r="D1061" s="3" t="s">
        <v>1167</v>
      </c>
      <c r="E1061" s="4" t="s">
        <v>1319</v>
      </c>
      <c r="F1061" t="s">
        <v>281</v>
      </c>
      <c r="G1061">
        <v>0.6301758885383606</v>
      </c>
      <c r="H1061" t="s">
        <v>2556</v>
      </c>
      <c r="I1061">
        <v>0.5972093939781189</v>
      </c>
      <c r="J1061" t="s">
        <v>2557</v>
      </c>
      <c r="K1061" s="4">
        <v>0.50691705942153931</v>
      </c>
      <c r="L1061" t="s">
        <v>252</v>
      </c>
      <c r="M1061">
        <v>0.47232940000000001</v>
      </c>
      <c r="N1061" t="s">
        <v>2558</v>
      </c>
      <c r="O1061">
        <v>6.2740795000000002E-2</v>
      </c>
      <c r="P1061" t="s">
        <v>2559</v>
      </c>
      <c r="Q1061" s="4">
        <v>4.4581389999999999E-2</v>
      </c>
      <c r="R1061" t="s">
        <v>151</v>
      </c>
      <c r="S1061">
        <v>0.36292219999999997</v>
      </c>
      <c r="T1061" t="s">
        <v>93</v>
      </c>
      <c r="U1061">
        <v>0.10625386000000001</v>
      </c>
      <c r="V1061" t="s">
        <v>66</v>
      </c>
      <c r="W1061">
        <v>9.8679909999999996E-2</v>
      </c>
    </row>
    <row r="1062" spans="1:23" x14ac:dyDescent="0.25">
      <c r="A1062" s="3" t="str">
        <f>HYPERLINK("http://ids.si.edu/ids/deliveryService?id=NMAH-JN2014-4169","NMAH-JN2014-4169")</f>
        <v>NMAH-JN2014-4169</v>
      </c>
      <c r="B1062" s="3" t="s">
        <v>2560</v>
      </c>
      <c r="C1062" s="3">
        <v>1200679</v>
      </c>
      <c r="D1062" s="3" t="s">
        <v>1167</v>
      </c>
      <c r="E1062" s="4" t="s">
        <v>2561</v>
      </c>
      <c r="F1062" t="s">
        <v>91</v>
      </c>
      <c r="G1062">
        <v>0.92529410123825073</v>
      </c>
      <c r="H1062" t="s">
        <v>615</v>
      </c>
      <c r="I1062">
        <v>0.89661037921905518</v>
      </c>
      <c r="J1062" t="s">
        <v>441</v>
      </c>
      <c r="K1062" s="4">
        <v>0.89653456211090088</v>
      </c>
      <c r="L1062" t="s">
        <v>338</v>
      </c>
      <c r="M1062">
        <v>0.1978028</v>
      </c>
      <c r="N1062" t="s">
        <v>149</v>
      </c>
      <c r="O1062">
        <v>0.17517239000000001</v>
      </c>
      <c r="P1062" t="s">
        <v>601</v>
      </c>
      <c r="Q1062" s="4">
        <v>0.14845264999999999</v>
      </c>
      <c r="R1062" t="s">
        <v>149</v>
      </c>
      <c r="S1062">
        <v>0.24395938</v>
      </c>
      <c r="T1062" t="s">
        <v>599</v>
      </c>
      <c r="U1062">
        <v>0.21194871000000001</v>
      </c>
      <c r="V1062" t="s">
        <v>1086</v>
      </c>
      <c r="W1062">
        <v>5.7041469999999997E-2</v>
      </c>
    </row>
    <row r="1063" spans="1:23" x14ac:dyDescent="0.25">
      <c r="A1063" s="3" t="str">
        <f>HYPERLINK("http://ids.si.edu/ids/deliveryService?id=NMAH-AHB2013q070718","NMAH-AHB2013q070718")</f>
        <v>NMAH-AHB2013q070718</v>
      </c>
      <c r="B1063" s="3" t="s">
        <v>2562</v>
      </c>
      <c r="C1063" s="3">
        <v>734498</v>
      </c>
      <c r="D1063" s="3" t="s">
        <v>1167</v>
      </c>
      <c r="E1063" s="4" t="s">
        <v>2563</v>
      </c>
      <c r="F1063" t="s">
        <v>1213</v>
      </c>
      <c r="G1063">
        <v>0.83022201061248779</v>
      </c>
      <c r="H1063" t="s">
        <v>1412</v>
      </c>
      <c r="I1063">
        <v>0.73139828443527222</v>
      </c>
      <c r="J1063" t="s">
        <v>532</v>
      </c>
      <c r="K1063" s="4">
        <v>0.52203339338302612</v>
      </c>
      <c r="L1063" t="s">
        <v>239</v>
      </c>
      <c r="M1063">
        <v>0.60210854000000003</v>
      </c>
      <c r="N1063" t="s">
        <v>141</v>
      </c>
      <c r="O1063">
        <v>0.33887087999999999</v>
      </c>
      <c r="P1063" t="s">
        <v>82</v>
      </c>
      <c r="Q1063" s="4">
        <v>1.9034500999999999E-2</v>
      </c>
      <c r="R1063" t="s">
        <v>141</v>
      </c>
      <c r="S1063">
        <v>0.5165265</v>
      </c>
      <c r="T1063" t="s">
        <v>239</v>
      </c>
      <c r="U1063">
        <v>0.20861896999999999</v>
      </c>
      <c r="V1063" t="s">
        <v>83</v>
      </c>
      <c r="W1063">
        <v>8.3971399999999988E-2</v>
      </c>
    </row>
    <row r="1064" spans="1:23" x14ac:dyDescent="0.25">
      <c r="A1064" s="3" t="str">
        <f>HYPERLINK("http://ids.si.edu/ids/deliveryService?id=NMAH-AHB2014q010056","NMAH-AHB2014q010056")</f>
        <v>NMAH-AHB2014q010056</v>
      </c>
      <c r="B1064" s="3" t="s">
        <v>2564</v>
      </c>
      <c r="C1064" s="3">
        <v>333356</v>
      </c>
      <c r="D1064" s="3" t="s">
        <v>1167</v>
      </c>
      <c r="E1064" s="4" t="s">
        <v>2565</v>
      </c>
      <c r="F1064" t="s">
        <v>91</v>
      </c>
      <c r="G1064">
        <v>0.88283330202102661</v>
      </c>
      <c r="H1064" t="s">
        <v>439</v>
      </c>
      <c r="I1064">
        <v>0.85411530733108521</v>
      </c>
      <c r="J1064" t="s">
        <v>727</v>
      </c>
      <c r="K1064" s="4">
        <v>0.77951669692993164</v>
      </c>
      <c r="L1064" t="s">
        <v>177</v>
      </c>
      <c r="M1064">
        <v>0.54629254000000005</v>
      </c>
      <c r="N1064" t="s">
        <v>639</v>
      </c>
      <c r="O1064">
        <v>7.0755769999999996E-2</v>
      </c>
      <c r="P1064" t="s">
        <v>1426</v>
      </c>
      <c r="Q1064" s="4">
        <v>6.4139349999999998E-2</v>
      </c>
      <c r="R1064" t="s">
        <v>2566</v>
      </c>
      <c r="S1064">
        <v>0.28333000000000003</v>
      </c>
      <c r="T1064" t="s">
        <v>392</v>
      </c>
      <c r="U1064">
        <v>6.7089795999999993E-2</v>
      </c>
      <c r="V1064" t="s">
        <v>1099</v>
      </c>
      <c r="W1064">
        <v>6.5442410000000006E-2</v>
      </c>
    </row>
    <row r="1065" spans="1:23" x14ac:dyDescent="0.25">
      <c r="A1065" s="3" t="str">
        <f>HYPERLINK("http://ids.si.edu/ids/deliveryService?id=NMAH-AHB2013q070227","NMAH-AHB2013q070227")</f>
        <v>NMAH-AHB2013q070227</v>
      </c>
      <c r="B1065" s="3" t="s">
        <v>2567</v>
      </c>
      <c r="C1065" s="3">
        <v>1346549</v>
      </c>
      <c r="D1065" s="3" t="s">
        <v>1167</v>
      </c>
      <c r="E1065" s="4" t="s">
        <v>1170</v>
      </c>
      <c r="F1065" t="s">
        <v>815</v>
      </c>
      <c r="G1065">
        <v>0.93034493923187256</v>
      </c>
      <c r="H1065" t="s">
        <v>61</v>
      </c>
      <c r="I1065">
        <v>0.91213947534561157</v>
      </c>
      <c r="J1065" t="s">
        <v>91</v>
      </c>
      <c r="K1065" s="4">
        <v>0.91031128168106079</v>
      </c>
      <c r="L1065" t="s">
        <v>82</v>
      </c>
      <c r="M1065">
        <v>0.91913723999999997</v>
      </c>
      <c r="N1065" t="s">
        <v>84</v>
      </c>
      <c r="O1065">
        <v>2.3906494E-2</v>
      </c>
      <c r="P1065" t="s">
        <v>83</v>
      </c>
      <c r="Q1065" s="4">
        <v>1.5100285999999999E-2</v>
      </c>
      <c r="R1065" t="s">
        <v>82</v>
      </c>
      <c r="S1065">
        <v>0.76125940000000003</v>
      </c>
      <c r="T1065" t="s">
        <v>495</v>
      </c>
      <c r="U1065">
        <v>9.4519829999999999E-2</v>
      </c>
      <c r="V1065" t="s">
        <v>239</v>
      </c>
      <c r="W1065">
        <v>4.5820321999999997E-2</v>
      </c>
    </row>
    <row r="1066" spans="1:23" x14ac:dyDescent="0.25">
      <c r="A1066" s="3" t="str">
        <f>HYPERLINK("http://ids.si.edu/ids/deliveryService?id=NMAH-AHB2012q69865-000001","NMAH-AHB2012q69865-000001")</f>
        <v>NMAH-AHB2012q69865-000001</v>
      </c>
      <c r="B1066" s="3" t="s">
        <v>2568</v>
      </c>
      <c r="C1066" s="3">
        <v>718620</v>
      </c>
      <c r="D1066" s="3" t="s">
        <v>1167</v>
      </c>
      <c r="E1066" s="4" t="s">
        <v>1173</v>
      </c>
      <c r="F1066" t="s">
        <v>38</v>
      </c>
      <c r="G1066">
        <v>0.55728942155838013</v>
      </c>
      <c r="H1066" t="s">
        <v>50</v>
      </c>
      <c r="I1066">
        <v>0.5114516019821167</v>
      </c>
      <c r="L1066" t="s">
        <v>66</v>
      </c>
      <c r="M1066">
        <v>0.39095643000000002</v>
      </c>
      <c r="N1066" t="s">
        <v>83</v>
      </c>
      <c r="O1066">
        <v>3.3229663999999999E-2</v>
      </c>
      <c r="P1066" t="s">
        <v>1406</v>
      </c>
      <c r="Q1066" s="4">
        <v>3.1092022E-2</v>
      </c>
      <c r="R1066" t="s">
        <v>151</v>
      </c>
      <c r="S1066">
        <v>0.28438946999999998</v>
      </c>
      <c r="T1066" t="s">
        <v>66</v>
      </c>
      <c r="U1066">
        <v>0.16393389999999999</v>
      </c>
      <c r="V1066" t="s">
        <v>879</v>
      </c>
      <c r="W1066">
        <v>4.0065776999999997E-2</v>
      </c>
    </row>
    <row r="1067" spans="1:23" x14ac:dyDescent="0.25">
      <c r="A1067" s="3" t="str">
        <f>HYPERLINK("http://ids.si.edu/ids/deliveryService?id=NMAH-AHB2012q65669","NMAH-AHB2012q65669")</f>
        <v>NMAH-AHB2012q65669</v>
      </c>
      <c r="B1067" s="3" t="s">
        <v>2569</v>
      </c>
      <c r="C1067" s="3">
        <v>737810</v>
      </c>
      <c r="D1067" s="3" t="s">
        <v>1167</v>
      </c>
      <c r="E1067" s="4" t="s">
        <v>1173</v>
      </c>
      <c r="F1067" t="s">
        <v>292</v>
      </c>
      <c r="G1067">
        <v>0.90192526578903198</v>
      </c>
      <c r="H1067" t="s">
        <v>91</v>
      </c>
      <c r="I1067">
        <v>0.88283330202102661</v>
      </c>
      <c r="J1067" t="s">
        <v>2138</v>
      </c>
      <c r="K1067" s="4">
        <v>0.79765611886978149</v>
      </c>
      <c r="L1067" t="s">
        <v>689</v>
      </c>
      <c r="M1067">
        <v>0.56570553999999995</v>
      </c>
      <c r="N1067" t="s">
        <v>312</v>
      </c>
      <c r="O1067">
        <v>0.11027530000000001</v>
      </c>
      <c r="P1067" t="s">
        <v>365</v>
      </c>
      <c r="Q1067" s="4">
        <v>4.0853087000000003E-2</v>
      </c>
      <c r="R1067" t="s">
        <v>363</v>
      </c>
      <c r="S1067">
        <v>0.45812055000000002</v>
      </c>
      <c r="T1067" t="s">
        <v>627</v>
      </c>
      <c r="U1067">
        <v>0.11124189</v>
      </c>
      <c r="V1067" t="s">
        <v>689</v>
      </c>
      <c r="W1067">
        <v>5.2316337999999997E-2</v>
      </c>
    </row>
    <row r="1068" spans="1:23" x14ac:dyDescent="0.25">
      <c r="A1068" s="3" t="str">
        <f>HYPERLINK("http://ids.si.edu/ids/deliveryService?id=NMAH-AHB2014q091550","NMAH-AHB2014q091550")</f>
        <v>NMAH-AHB2014q091550</v>
      </c>
      <c r="B1068" s="3" t="s">
        <v>2570</v>
      </c>
      <c r="C1068" s="3">
        <v>1450733</v>
      </c>
      <c r="D1068" s="3" t="s">
        <v>1167</v>
      </c>
      <c r="E1068" s="4" t="s">
        <v>2571</v>
      </c>
      <c r="F1068" t="s">
        <v>256</v>
      </c>
      <c r="G1068">
        <v>0.69171404838562012</v>
      </c>
      <c r="H1068" t="s">
        <v>62</v>
      </c>
      <c r="I1068">
        <v>0.62534767389297485</v>
      </c>
      <c r="J1068" t="s">
        <v>265</v>
      </c>
      <c r="K1068" s="4">
        <v>0.61645567417144775</v>
      </c>
      <c r="L1068" t="s">
        <v>225</v>
      </c>
      <c r="M1068">
        <v>0.21081515000000001</v>
      </c>
      <c r="N1068" t="s">
        <v>648</v>
      </c>
      <c r="O1068">
        <v>5.7691399999999997E-2</v>
      </c>
      <c r="P1068" t="s">
        <v>149</v>
      </c>
      <c r="Q1068" s="4">
        <v>4.8062912999999999E-2</v>
      </c>
      <c r="R1068" t="s">
        <v>225</v>
      </c>
      <c r="S1068">
        <v>0.12424766</v>
      </c>
      <c r="T1068" t="s">
        <v>226</v>
      </c>
      <c r="U1068">
        <v>6.8533440000000001E-2</v>
      </c>
      <c r="V1068" t="s">
        <v>369</v>
      </c>
      <c r="W1068">
        <v>4.9638359999999999E-2</v>
      </c>
    </row>
    <row r="1069" spans="1:23" x14ac:dyDescent="0.25">
      <c r="A1069" s="3" t="str">
        <f>HYPERLINK("http://ids.si.edu/ids/deliveryService?id=NMAH-AHB2012q66070","NMAH-AHB2012q66070")</f>
        <v>NMAH-AHB2012q66070</v>
      </c>
      <c r="B1069" s="3" t="s">
        <v>2572</v>
      </c>
      <c r="C1069" s="3">
        <v>1348550</v>
      </c>
      <c r="D1069" s="3" t="s">
        <v>1167</v>
      </c>
      <c r="E1069" s="4" t="s">
        <v>2573</v>
      </c>
      <c r="F1069" t="s">
        <v>91</v>
      </c>
      <c r="G1069">
        <v>0.95911645889282227</v>
      </c>
      <c r="H1069" t="s">
        <v>2138</v>
      </c>
      <c r="I1069">
        <v>0.72633248567581177</v>
      </c>
      <c r="J1069" t="s">
        <v>50</v>
      </c>
      <c r="K1069" s="4">
        <v>0.69359874725341797</v>
      </c>
      <c r="L1069" t="s">
        <v>365</v>
      </c>
      <c r="M1069">
        <v>0.82345365999999998</v>
      </c>
      <c r="N1069" t="s">
        <v>627</v>
      </c>
      <c r="O1069">
        <v>5.0875089999999998E-2</v>
      </c>
      <c r="P1069" t="s">
        <v>312</v>
      </c>
      <c r="Q1069" s="4">
        <v>3.4268449999999999E-2</v>
      </c>
      <c r="R1069" t="s">
        <v>363</v>
      </c>
      <c r="S1069">
        <v>0.33562446000000001</v>
      </c>
      <c r="T1069" t="s">
        <v>689</v>
      </c>
      <c r="U1069">
        <v>0.19415082</v>
      </c>
      <c r="V1069" t="s">
        <v>365</v>
      </c>
      <c r="W1069">
        <v>7.4919015000000005E-2</v>
      </c>
    </row>
    <row r="1070" spans="1:23" x14ac:dyDescent="0.25">
      <c r="A1070" s="3" t="str">
        <f>HYPERLINK("http://ids.si.edu/ids/deliveryService?id=NMAH-AHB2017q058433","NMAH-AHB2017q058433")</f>
        <v>NMAH-AHB2017q058433</v>
      </c>
      <c r="B1070" s="3" t="s">
        <v>2574</v>
      </c>
      <c r="C1070" s="3">
        <v>1184347</v>
      </c>
      <c r="D1070" s="3" t="s">
        <v>1167</v>
      </c>
      <c r="E1070" s="4" t="s">
        <v>2575</v>
      </c>
      <c r="F1070" t="s">
        <v>91</v>
      </c>
      <c r="G1070">
        <v>0.88283330202102661</v>
      </c>
      <c r="H1070" t="s">
        <v>50</v>
      </c>
      <c r="I1070">
        <v>0.83753311634063721</v>
      </c>
      <c r="J1070" t="s">
        <v>49</v>
      </c>
      <c r="K1070" s="4">
        <v>0.83584529161453247</v>
      </c>
      <c r="L1070" t="s">
        <v>1907</v>
      </c>
      <c r="M1070">
        <v>0.20768033999999999</v>
      </c>
      <c r="N1070" t="s">
        <v>106</v>
      </c>
      <c r="O1070">
        <v>6.0689904000000003E-2</v>
      </c>
      <c r="P1070" t="s">
        <v>357</v>
      </c>
      <c r="Q1070" s="4">
        <v>5.6888569999999999E-2</v>
      </c>
      <c r="R1070" t="s">
        <v>443</v>
      </c>
      <c r="S1070">
        <v>0.14349503999999999</v>
      </c>
      <c r="T1070" t="s">
        <v>303</v>
      </c>
      <c r="U1070">
        <v>0.11428061</v>
      </c>
      <c r="V1070" t="s">
        <v>601</v>
      </c>
      <c r="W1070">
        <v>3.9980929999999998E-2</v>
      </c>
    </row>
    <row r="1071" spans="1:23" x14ac:dyDescent="0.25">
      <c r="A1071" s="3" t="str">
        <f>HYPERLINK("http://ids.si.edu/ids/deliveryService?id=NMAH-AHB2012q65438-000001","NMAH-AHB2012q65438-000001")</f>
        <v>NMAH-AHB2012q65438-000001</v>
      </c>
      <c r="B1071" s="3" t="s">
        <v>2576</v>
      </c>
      <c r="C1071" s="3">
        <v>717049</v>
      </c>
      <c r="D1071" s="3" t="s">
        <v>1167</v>
      </c>
      <c r="E1071" s="4" t="s">
        <v>1173</v>
      </c>
      <c r="F1071" t="s">
        <v>206</v>
      </c>
      <c r="G1071">
        <v>0.63671362400054932</v>
      </c>
      <c r="L1071" t="s">
        <v>749</v>
      </c>
      <c r="M1071">
        <v>0.22725049</v>
      </c>
      <c r="N1071" t="s">
        <v>2577</v>
      </c>
      <c r="O1071">
        <v>0.13323246</v>
      </c>
      <c r="P1071" t="s">
        <v>580</v>
      </c>
      <c r="Q1071" s="4">
        <v>8.6698410000000004E-2</v>
      </c>
      <c r="R1071" t="s">
        <v>847</v>
      </c>
      <c r="S1071">
        <v>9.2946819999999999E-2</v>
      </c>
      <c r="T1071" t="s">
        <v>1933</v>
      </c>
      <c r="U1071">
        <v>5.4298760000000001E-2</v>
      </c>
      <c r="V1071" t="s">
        <v>41</v>
      </c>
      <c r="W1071">
        <v>4.6563002999999999E-2</v>
      </c>
    </row>
    <row r="1072" spans="1:23" x14ac:dyDescent="0.25">
      <c r="A1072" s="3" t="str">
        <f>HYPERLINK("http://ids.si.edu/ids/deliveryService?id=NMAH-AHB2012q65427-000001","NMAH-AHB2012q65427-000001")</f>
        <v>NMAH-AHB2012q65427-000001</v>
      </c>
      <c r="B1072" s="3" t="s">
        <v>2578</v>
      </c>
      <c r="C1072" s="3">
        <v>716944</v>
      </c>
      <c r="D1072" s="3" t="s">
        <v>1167</v>
      </c>
      <c r="E1072" s="4" t="s">
        <v>1173</v>
      </c>
      <c r="F1072" t="s">
        <v>91</v>
      </c>
      <c r="G1072">
        <v>0.88283330202102661</v>
      </c>
      <c r="H1072" t="s">
        <v>486</v>
      </c>
      <c r="I1072">
        <v>0.83805954456329346</v>
      </c>
      <c r="J1072" t="s">
        <v>1016</v>
      </c>
      <c r="K1072" s="4">
        <v>0.6991998553276062</v>
      </c>
      <c r="L1072" t="s">
        <v>601</v>
      </c>
      <c r="M1072">
        <v>0.18634722000000001</v>
      </c>
      <c r="N1072" t="s">
        <v>1260</v>
      </c>
      <c r="O1072">
        <v>0.12131432</v>
      </c>
      <c r="P1072" t="s">
        <v>499</v>
      </c>
      <c r="Q1072" s="4">
        <v>7.3565690000000003E-2</v>
      </c>
      <c r="R1072" t="s">
        <v>444</v>
      </c>
      <c r="S1072">
        <v>6.6422134999999993E-2</v>
      </c>
      <c r="T1072" t="s">
        <v>150</v>
      </c>
      <c r="U1072">
        <v>5.1112387000000002E-2</v>
      </c>
      <c r="V1072" t="s">
        <v>601</v>
      </c>
      <c r="W1072">
        <v>4.7415875000000003E-2</v>
      </c>
    </row>
    <row r="1073" spans="1:23" x14ac:dyDescent="0.25">
      <c r="A1073" s="3" t="str">
        <f>HYPERLINK("http://ids.si.edu/ids/deliveryService?id=NMAH-AHB2012q63975","NMAH-AHB2012q63975")</f>
        <v>NMAH-AHB2012q63975</v>
      </c>
      <c r="B1073" s="3" t="s">
        <v>2579</v>
      </c>
      <c r="C1073" s="3">
        <v>1352336</v>
      </c>
      <c r="D1073" s="3" t="s">
        <v>1167</v>
      </c>
      <c r="E1073" s="4" t="s">
        <v>2580</v>
      </c>
      <c r="F1073" t="s">
        <v>1174</v>
      </c>
      <c r="G1073">
        <v>0.75398629903793335</v>
      </c>
      <c r="H1073" t="s">
        <v>1188</v>
      </c>
      <c r="I1073">
        <v>0.7154802680015564</v>
      </c>
      <c r="J1073" t="s">
        <v>1187</v>
      </c>
      <c r="K1073" s="4">
        <v>0.59217864274978638</v>
      </c>
      <c r="L1073" t="s">
        <v>363</v>
      </c>
      <c r="M1073">
        <v>0.48238236000000001</v>
      </c>
      <c r="N1073" t="s">
        <v>312</v>
      </c>
      <c r="O1073">
        <v>6.6722155000000005E-2</v>
      </c>
      <c r="P1073" t="s">
        <v>627</v>
      </c>
      <c r="Q1073" s="4">
        <v>5.7032316999999999E-2</v>
      </c>
      <c r="R1073" t="s">
        <v>363</v>
      </c>
      <c r="S1073">
        <v>0.50980102999999999</v>
      </c>
      <c r="T1073" t="s">
        <v>923</v>
      </c>
      <c r="U1073">
        <v>6.7378275000000001E-2</v>
      </c>
      <c r="V1073" t="s">
        <v>627</v>
      </c>
      <c r="W1073">
        <v>6.4382019999999998E-2</v>
      </c>
    </row>
    <row r="1074" spans="1:23" x14ac:dyDescent="0.25">
      <c r="A1074" s="3" t="str">
        <f>HYPERLINK("http://ids.si.edu/ids/deliveryService?id=NMAH-AHB2012q61969","NMAH-AHB2012q61969")</f>
        <v>NMAH-AHB2012q61969</v>
      </c>
      <c r="B1074" s="3" t="s">
        <v>2581</v>
      </c>
      <c r="C1074" s="3">
        <v>715450</v>
      </c>
      <c r="D1074" s="3" t="s">
        <v>1167</v>
      </c>
      <c r="E1074" s="4" t="s">
        <v>1173</v>
      </c>
      <c r="F1074" t="s">
        <v>91</v>
      </c>
      <c r="G1074">
        <v>0.93479853868484497</v>
      </c>
      <c r="H1074" t="s">
        <v>1174</v>
      </c>
      <c r="I1074">
        <v>0.92957639694213867</v>
      </c>
      <c r="J1074" t="s">
        <v>1280</v>
      </c>
      <c r="K1074" s="4">
        <v>0.87197589874267578</v>
      </c>
      <c r="L1074" t="s">
        <v>95</v>
      </c>
      <c r="M1074">
        <v>0.38073412000000001</v>
      </c>
      <c r="N1074" t="s">
        <v>363</v>
      </c>
      <c r="O1074">
        <v>8.0363210000000004E-2</v>
      </c>
      <c r="P1074" t="s">
        <v>35</v>
      </c>
      <c r="Q1074" s="4">
        <v>6.44314E-2</v>
      </c>
      <c r="R1074" t="s">
        <v>363</v>
      </c>
      <c r="S1074">
        <v>0.60725229999999997</v>
      </c>
      <c r="T1074" t="s">
        <v>95</v>
      </c>
      <c r="U1074">
        <v>6.0358624999999999E-2</v>
      </c>
      <c r="V1074" t="s">
        <v>82</v>
      </c>
      <c r="W1074">
        <v>5.4749316999999999E-2</v>
      </c>
    </row>
    <row r="1075" spans="1:23" x14ac:dyDescent="0.25">
      <c r="A1075" s="3" t="str">
        <f>HYPERLINK("http://ids.si.edu/ids/deliveryService?id=NMAH-AHB2017q125742","NMAH-AHB2017q125742")</f>
        <v>NMAH-AHB2017q125742</v>
      </c>
      <c r="B1075" s="3" t="s">
        <v>2582</v>
      </c>
      <c r="C1075" s="3">
        <v>2969</v>
      </c>
      <c r="D1075" s="3" t="s">
        <v>1167</v>
      </c>
      <c r="E1075" s="4" t="s">
        <v>1323</v>
      </c>
      <c r="F1075" t="s">
        <v>112</v>
      </c>
      <c r="G1075">
        <v>0.68572378158569336</v>
      </c>
      <c r="H1075" t="s">
        <v>206</v>
      </c>
      <c r="I1075">
        <v>0.63671362400054932</v>
      </c>
      <c r="J1075" t="s">
        <v>38</v>
      </c>
      <c r="K1075" s="4">
        <v>0.620880126953125</v>
      </c>
      <c r="L1075" t="s">
        <v>335</v>
      </c>
      <c r="M1075">
        <v>0.49730702999999998</v>
      </c>
      <c r="N1075" t="s">
        <v>149</v>
      </c>
      <c r="O1075">
        <v>8.6294280000000001E-2</v>
      </c>
      <c r="P1075" t="s">
        <v>1876</v>
      </c>
      <c r="Q1075" s="4">
        <v>6.0161672999999999E-2</v>
      </c>
      <c r="R1075" t="s">
        <v>149</v>
      </c>
      <c r="S1075">
        <v>0.68602275999999995</v>
      </c>
      <c r="T1075" t="s">
        <v>601</v>
      </c>
      <c r="U1075">
        <v>3.8333803E-2</v>
      </c>
      <c r="V1075" t="s">
        <v>444</v>
      </c>
      <c r="W1075">
        <v>2.223354E-2</v>
      </c>
    </row>
    <row r="1076" spans="1:23" x14ac:dyDescent="0.25">
      <c r="A1076" s="3" t="str">
        <f>HYPERLINK("http://ids.si.edu/ids/deliveryService?id=NMAH-AHB2012q62505","NMAH-AHB2012q62505")</f>
        <v>NMAH-AHB2012q62505</v>
      </c>
      <c r="B1076" s="3" t="s">
        <v>2583</v>
      </c>
      <c r="C1076" s="3">
        <v>209830</v>
      </c>
      <c r="D1076" s="3" t="s">
        <v>1167</v>
      </c>
      <c r="E1076" s="4" t="s">
        <v>1173</v>
      </c>
      <c r="F1076" t="s">
        <v>1174</v>
      </c>
      <c r="G1076">
        <v>0.92585349082946777</v>
      </c>
      <c r="H1076" t="s">
        <v>91</v>
      </c>
      <c r="I1076">
        <v>0.92529410123825073</v>
      </c>
      <c r="J1076" t="s">
        <v>1280</v>
      </c>
      <c r="K1076" s="4">
        <v>0.89209800958633423</v>
      </c>
      <c r="L1076" t="s">
        <v>363</v>
      </c>
      <c r="M1076">
        <v>0.9174428</v>
      </c>
      <c r="N1076" t="s">
        <v>312</v>
      </c>
      <c r="O1076">
        <v>3.9636492999999988E-2</v>
      </c>
      <c r="P1076" t="s">
        <v>627</v>
      </c>
      <c r="Q1076" s="4">
        <v>2.1948194000000001E-2</v>
      </c>
      <c r="R1076" t="s">
        <v>312</v>
      </c>
      <c r="S1076">
        <v>0.5689645000000001</v>
      </c>
      <c r="T1076" t="s">
        <v>627</v>
      </c>
      <c r="U1076">
        <v>0.109563984</v>
      </c>
      <c r="V1076" t="s">
        <v>363</v>
      </c>
      <c r="W1076">
        <v>9.8689860000000004E-2</v>
      </c>
    </row>
    <row r="1077" spans="1:23" x14ac:dyDescent="0.25">
      <c r="A1077" s="3" t="str">
        <f>HYPERLINK("http://ids.si.edu/ids/deliveryService?id=NMAH-AHB2017q046104","NMAH-AHB2017q046104")</f>
        <v>NMAH-AHB2017q046104</v>
      </c>
      <c r="B1077" s="3" t="s">
        <v>2584</v>
      </c>
      <c r="C1077" s="3">
        <v>651</v>
      </c>
      <c r="D1077" s="3" t="s">
        <v>1167</v>
      </c>
      <c r="E1077" s="4" t="s">
        <v>2585</v>
      </c>
      <c r="F1077" t="s">
        <v>272</v>
      </c>
      <c r="G1077">
        <v>0.94106495380401611</v>
      </c>
      <c r="H1077" t="s">
        <v>603</v>
      </c>
      <c r="I1077">
        <v>0.93541043996810913</v>
      </c>
      <c r="J1077" t="s">
        <v>101</v>
      </c>
      <c r="K1077" s="4">
        <v>0.93087053298950195</v>
      </c>
      <c r="L1077" t="s">
        <v>2242</v>
      </c>
      <c r="M1077">
        <v>0.55851673999999996</v>
      </c>
      <c r="N1077" t="s">
        <v>93</v>
      </c>
      <c r="O1077">
        <v>0.20782893999999999</v>
      </c>
      <c r="P1077" t="s">
        <v>1567</v>
      </c>
      <c r="Q1077" s="4">
        <v>0.13657807999999999</v>
      </c>
      <c r="R1077" t="s">
        <v>93</v>
      </c>
      <c r="S1077">
        <v>0.19436914999999999</v>
      </c>
      <c r="T1077" t="s">
        <v>689</v>
      </c>
      <c r="U1077">
        <v>0.10894993</v>
      </c>
      <c r="V1077" t="s">
        <v>1934</v>
      </c>
      <c r="W1077">
        <v>7.7229300000000001E-2</v>
      </c>
    </row>
    <row r="1078" spans="1:23" x14ac:dyDescent="0.25">
      <c r="A1078" s="3" t="str">
        <f>HYPERLINK("http://ids.si.edu/ids/deliveryService?id=NMAH-AHB2012q67575-000001","NMAH-AHB2012q67575-000001")</f>
        <v>NMAH-AHB2012q67575-000001</v>
      </c>
      <c r="B1078" s="3" t="s">
        <v>2586</v>
      </c>
      <c r="C1078" s="3">
        <v>1298442</v>
      </c>
      <c r="D1078" s="3" t="s">
        <v>1167</v>
      </c>
      <c r="E1078" s="4" t="s">
        <v>1173</v>
      </c>
      <c r="F1078" t="s">
        <v>1224</v>
      </c>
      <c r="G1078">
        <v>0.73643898963928223</v>
      </c>
      <c r="H1078" t="s">
        <v>196</v>
      </c>
      <c r="I1078">
        <v>0.63505172729492188</v>
      </c>
      <c r="J1078" t="s">
        <v>195</v>
      </c>
      <c r="K1078" s="4">
        <v>0.63446879386901855</v>
      </c>
      <c r="L1078" t="s">
        <v>66</v>
      </c>
      <c r="M1078">
        <v>0.38801016999999999</v>
      </c>
      <c r="N1078" t="s">
        <v>495</v>
      </c>
      <c r="O1078">
        <v>6.5574110000000005E-2</v>
      </c>
      <c r="P1078" t="s">
        <v>209</v>
      </c>
      <c r="Q1078" s="4">
        <v>5.3890149999999998E-2</v>
      </c>
      <c r="R1078" t="s">
        <v>813</v>
      </c>
      <c r="S1078">
        <v>0.18455437</v>
      </c>
      <c r="T1078" t="s">
        <v>303</v>
      </c>
      <c r="U1078">
        <v>7.3099769999999994E-2</v>
      </c>
      <c r="V1078" t="s">
        <v>586</v>
      </c>
      <c r="W1078">
        <v>3.8967176999999999E-2</v>
      </c>
    </row>
    <row r="1079" spans="1:23" x14ac:dyDescent="0.25">
      <c r="A1079" s="3" t="str">
        <f>HYPERLINK("http://ids.si.edu/ids/deliveryService?id=NMAH-AHB2007q11934","NMAH-AHB2007q11934")</f>
        <v>NMAH-AHB2007q11934</v>
      </c>
      <c r="B1079" s="3" t="s">
        <v>2587</v>
      </c>
      <c r="C1079" s="3">
        <v>1329945</v>
      </c>
      <c r="D1079" s="3" t="s">
        <v>1167</v>
      </c>
      <c r="E1079" s="4" t="s">
        <v>2588</v>
      </c>
      <c r="F1079" t="s">
        <v>541</v>
      </c>
      <c r="G1079">
        <v>0.52115780115127563</v>
      </c>
      <c r="L1079" t="s">
        <v>209</v>
      </c>
      <c r="M1079">
        <v>0.43730416999999999</v>
      </c>
      <c r="N1079" t="s">
        <v>65</v>
      </c>
      <c r="O1079">
        <v>7.5655035999999995E-2</v>
      </c>
      <c r="P1079" t="s">
        <v>66</v>
      </c>
      <c r="Q1079" s="4">
        <v>6.6873150000000006E-2</v>
      </c>
      <c r="R1079" t="s">
        <v>65</v>
      </c>
      <c r="S1079">
        <v>0.20480180000000001</v>
      </c>
      <c r="T1079" t="s">
        <v>209</v>
      </c>
      <c r="U1079">
        <v>0.13303329</v>
      </c>
      <c r="V1079" t="s">
        <v>148</v>
      </c>
      <c r="W1079">
        <v>8.0081390000000002E-2</v>
      </c>
    </row>
    <row r="1080" spans="1:23" x14ac:dyDescent="0.25">
      <c r="A1080" s="3" t="str">
        <f>HYPERLINK("http://ids.si.edu/ids/deliveryService?id=NMAH-AHB2012q60998-000001","NMAH-AHB2012q60998-000001")</f>
        <v>NMAH-AHB2012q60998-000001</v>
      </c>
      <c r="B1080" s="3" t="s">
        <v>2589</v>
      </c>
      <c r="C1080" s="3">
        <v>715568</v>
      </c>
      <c r="D1080" s="3" t="s">
        <v>1167</v>
      </c>
      <c r="E1080" s="4" t="s">
        <v>1173</v>
      </c>
      <c r="F1080" t="s">
        <v>91</v>
      </c>
      <c r="G1080">
        <v>0.9462587833404541</v>
      </c>
      <c r="H1080" t="s">
        <v>1280</v>
      </c>
      <c r="I1080">
        <v>0.91398084163665771</v>
      </c>
      <c r="J1080" t="s">
        <v>1174</v>
      </c>
      <c r="K1080" s="4">
        <v>0.88983052968978882</v>
      </c>
      <c r="L1080" t="s">
        <v>312</v>
      </c>
      <c r="M1080">
        <v>0.59263146</v>
      </c>
      <c r="N1080" t="s">
        <v>363</v>
      </c>
      <c r="O1080">
        <v>0.17773824999999999</v>
      </c>
      <c r="P1080" t="s">
        <v>95</v>
      </c>
      <c r="Q1080" s="4">
        <v>9.6713709999999994E-2</v>
      </c>
      <c r="R1080" t="s">
        <v>363</v>
      </c>
      <c r="S1080">
        <v>0.42439187</v>
      </c>
      <c r="T1080" t="s">
        <v>627</v>
      </c>
      <c r="U1080">
        <v>7.2066569999999996E-2</v>
      </c>
      <c r="V1080" t="s">
        <v>689</v>
      </c>
      <c r="W1080">
        <v>4.4662649999999998E-2</v>
      </c>
    </row>
    <row r="1081" spans="1:23" x14ac:dyDescent="0.25">
      <c r="A1081" s="3" t="str">
        <f>HYPERLINK("http://ids.si.edu/ids/deliveryService?id=NMAH-78-1213","NMAH-78-1213")</f>
        <v>NMAH-78-1213</v>
      </c>
      <c r="B1081" s="3" t="s">
        <v>2590</v>
      </c>
      <c r="C1081" s="3">
        <v>997143</v>
      </c>
      <c r="D1081" s="3" t="s">
        <v>1167</v>
      </c>
      <c r="E1081" s="4" t="s">
        <v>2591</v>
      </c>
      <c r="F1081" t="s">
        <v>301</v>
      </c>
      <c r="G1081">
        <v>0.68597954511642456</v>
      </c>
      <c r="H1081" t="s">
        <v>50</v>
      </c>
      <c r="I1081">
        <v>0.60706108808517456</v>
      </c>
      <c r="J1081" t="s">
        <v>49</v>
      </c>
      <c r="K1081" s="4">
        <v>0.52727848291397095</v>
      </c>
      <c r="L1081" t="s">
        <v>65</v>
      </c>
      <c r="M1081">
        <v>0.13006152000000001</v>
      </c>
      <c r="N1081" t="s">
        <v>336</v>
      </c>
      <c r="O1081">
        <v>0.102487035</v>
      </c>
      <c r="P1081" t="s">
        <v>1501</v>
      </c>
      <c r="Q1081" s="4">
        <v>9.7963005000000006E-2</v>
      </c>
      <c r="R1081" t="s">
        <v>261</v>
      </c>
      <c r="S1081">
        <v>0.16601792000000001</v>
      </c>
      <c r="T1081" t="s">
        <v>523</v>
      </c>
      <c r="U1081">
        <v>0.14134142999999999</v>
      </c>
      <c r="V1081" t="s">
        <v>31</v>
      </c>
      <c r="W1081">
        <v>0.11552675</v>
      </c>
    </row>
    <row r="1082" spans="1:23" x14ac:dyDescent="0.25">
      <c r="A1082" s="3" t="str">
        <f>HYPERLINK("http://ids.si.edu/ids/deliveryService?id=NMAH-AHB2014q010437","NMAH-AHB2014q010437")</f>
        <v>NMAH-AHB2014q010437</v>
      </c>
      <c r="B1082" s="3" t="s">
        <v>2592</v>
      </c>
      <c r="C1082" s="3">
        <v>1466508</v>
      </c>
      <c r="D1082" s="3" t="s">
        <v>1167</v>
      </c>
      <c r="E1082" s="4" t="s">
        <v>2593</v>
      </c>
      <c r="F1082" t="s">
        <v>50</v>
      </c>
      <c r="G1082">
        <v>0.5114516019821167</v>
      </c>
      <c r="L1082" t="s">
        <v>1206</v>
      </c>
      <c r="M1082">
        <v>0.50438040000000006</v>
      </c>
      <c r="N1082" t="s">
        <v>398</v>
      </c>
      <c r="O1082">
        <v>6.6178485999999995E-2</v>
      </c>
      <c r="P1082" t="s">
        <v>597</v>
      </c>
      <c r="Q1082" s="4">
        <v>6.0527289999999997E-2</v>
      </c>
      <c r="R1082" t="s">
        <v>685</v>
      </c>
      <c r="S1082">
        <v>0.24033526</v>
      </c>
      <c r="T1082" t="s">
        <v>437</v>
      </c>
      <c r="U1082">
        <v>0.11022348999999999</v>
      </c>
      <c r="V1082" t="s">
        <v>148</v>
      </c>
      <c r="W1082">
        <v>9.8127499999999993E-2</v>
      </c>
    </row>
    <row r="1083" spans="1:23" x14ac:dyDescent="0.25">
      <c r="A1083" s="3" t="str">
        <f>HYPERLINK("http://ids.si.edu/ids/deliveryService?id=NMAH-AHB2017q058269","NMAH-AHB2017q058269")</f>
        <v>NMAH-AHB2017q058269</v>
      </c>
      <c r="B1083" s="3" t="s">
        <v>2594</v>
      </c>
      <c r="C1083" s="3">
        <v>1317587</v>
      </c>
      <c r="D1083" s="3" t="s">
        <v>1167</v>
      </c>
      <c r="E1083" s="4" t="s">
        <v>2595</v>
      </c>
      <c r="F1083" t="s">
        <v>1774</v>
      </c>
      <c r="G1083">
        <v>0.8230278491973877</v>
      </c>
      <c r="H1083" t="s">
        <v>748</v>
      </c>
      <c r="I1083">
        <v>0.67842793464660645</v>
      </c>
      <c r="J1083" t="s">
        <v>206</v>
      </c>
      <c r="K1083" s="4">
        <v>0.66557526588439941</v>
      </c>
      <c r="L1083" t="s">
        <v>369</v>
      </c>
      <c r="M1083">
        <v>7.9026940000000004E-2</v>
      </c>
      <c r="N1083" t="s">
        <v>66</v>
      </c>
      <c r="O1083">
        <v>6.1460252999999999E-2</v>
      </c>
      <c r="P1083" t="s">
        <v>412</v>
      </c>
      <c r="Q1083" s="4">
        <v>3.5905647999999998E-2</v>
      </c>
      <c r="R1083" t="s">
        <v>66</v>
      </c>
      <c r="S1083">
        <v>0.37300175000000002</v>
      </c>
      <c r="T1083" t="s">
        <v>151</v>
      </c>
      <c r="U1083">
        <v>0.11955856500000001</v>
      </c>
      <c r="V1083" t="s">
        <v>253</v>
      </c>
      <c r="W1083">
        <v>2.9657418000000001E-2</v>
      </c>
    </row>
    <row r="1084" spans="1:23" x14ac:dyDescent="0.25">
      <c r="A1084" s="3" t="str">
        <f>HYPERLINK("http://ids.si.edu/ids/deliveryService?id=NMAH-AHB2012q66855","NMAH-AHB2012q66855")</f>
        <v>NMAH-AHB2012q66855</v>
      </c>
      <c r="B1084" s="3" t="s">
        <v>2596</v>
      </c>
      <c r="C1084" s="3">
        <v>720361</v>
      </c>
      <c r="D1084" s="3" t="s">
        <v>1167</v>
      </c>
      <c r="E1084" s="4" t="s">
        <v>1173</v>
      </c>
      <c r="F1084" t="s">
        <v>91</v>
      </c>
      <c r="G1084">
        <v>0.95911645889282227</v>
      </c>
      <c r="H1084" t="s">
        <v>1187</v>
      </c>
      <c r="I1084">
        <v>0.86407142877578735</v>
      </c>
      <c r="J1084" t="s">
        <v>2597</v>
      </c>
      <c r="K1084" s="4">
        <v>0.72969835996627808</v>
      </c>
      <c r="L1084" t="s">
        <v>170</v>
      </c>
      <c r="M1084">
        <v>0.54360680000000006</v>
      </c>
      <c r="N1084" t="s">
        <v>627</v>
      </c>
      <c r="O1084">
        <v>0.34205165999999998</v>
      </c>
      <c r="P1084" t="s">
        <v>82</v>
      </c>
      <c r="Q1084" s="4">
        <v>3.0779597999999998E-2</v>
      </c>
      <c r="R1084" t="s">
        <v>627</v>
      </c>
      <c r="S1084">
        <v>0.51944095000000001</v>
      </c>
      <c r="T1084" t="s">
        <v>363</v>
      </c>
      <c r="U1084">
        <v>0.17324269</v>
      </c>
      <c r="V1084" t="s">
        <v>170</v>
      </c>
      <c r="W1084">
        <v>0.14568797</v>
      </c>
    </row>
    <row r="1085" spans="1:23" x14ac:dyDescent="0.25">
      <c r="A1085" s="3" t="str">
        <f>HYPERLINK("http://ids.si.edu/ids/deliveryService?id=NMAH-AHB2017q048822","NMAH-AHB2017q048822")</f>
        <v>NMAH-AHB2017q048822</v>
      </c>
      <c r="B1085" s="3" t="s">
        <v>2598</v>
      </c>
      <c r="C1085" s="3">
        <v>333934</v>
      </c>
      <c r="D1085" s="3" t="s">
        <v>1167</v>
      </c>
      <c r="E1085" s="4" t="s">
        <v>1217</v>
      </c>
      <c r="F1085" t="s">
        <v>91</v>
      </c>
      <c r="G1085">
        <v>0.88283330202102661</v>
      </c>
      <c r="H1085" t="s">
        <v>206</v>
      </c>
      <c r="I1085">
        <v>0.63671362400054932</v>
      </c>
      <c r="J1085" t="s">
        <v>188</v>
      </c>
      <c r="K1085" s="4">
        <v>0.59940940141677856</v>
      </c>
      <c r="L1085" t="s">
        <v>888</v>
      </c>
      <c r="M1085">
        <v>0.30132952000000002</v>
      </c>
      <c r="N1085" t="s">
        <v>66</v>
      </c>
      <c r="O1085">
        <v>0.14496316000000001</v>
      </c>
      <c r="P1085" t="s">
        <v>159</v>
      </c>
      <c r="Q1085" s="4">
        <v>0.14139688</v>
      </c>
      <c r="R1085" t="s">
        <v>226</v>
      </c>
      <c r="S1085">
        <v>0.11961794000000001</v>
      </c>
      <c r="T1085" t="s">
        <v>159</v>
      </c>
      <c r="U1085">
        <v>9.1631025000000005E-2</v>
      </c>
      <c r="V1085" t="s">
        <v>888</v>
      </c>
      <c r="W1085">
        <v>8.8038379999999999E-2</v>
      </c>
    </row>
    <row r="1086" spans="1:23" x14ac:dyDescent="0.25">
      <c r="A1086" s="3" t="str">
        <f>HYPERLINK("http://ids.si.edu/ids/deliveryService?id=NMAH-AHB2013q069844","NMAH-AHB2013q069844")</f>
        <v>NMAH-AHB2013q069844</v>
      </c>
      <c r="B1086" s="3" t="s">
        <v>2599</v>
      </c>
      <c r="C1086" s="3">
        <v>1066914</v>
      </c>
      <c r="D1086" s="3" t="s">
        <v>1167</v>
      </c>
      <c r="E1086" s="4" t="s">
        <v>2600</v>
      </c>
      <c r="F1086" t="s">
        <v>91</v>
      </c>
      <c r="G1086">
        <v>0.92529410123825073</v>
      </c>
      <c r="H1086" t="s">
        <v>292</v>
      </c>
      <c r="I1086">
        <v>0.90192526578903198</v>
      </c>
      <c r="J1086" t="s">
        <v>147</v>
      </c>
      <c r="K1086" s="4">
        <v>0.76649558544158936</v>
      </c>
      <c r="L1086" t="s">
        <v>152</v>
      </c>
      <c r="M1086">
        <v>0.25999728</v>
      </c>
      <c r="N1086" t="s">
        <v>209</v>
      </c>
      <c r="O1086">
        <v>0.18076816000000001</v>
      </c>
      <c r="P1086" t="s">
        <v>184</v>
      </c>
      <c r="Q1086" s="4">
        <v>6.213983E-2</v>
      </c>
      <c r="R1086" t="s">
        <v>151</v>
      </c>
      <c r="S1086">
        <v>0.26264852</v>
      </c>
      <c r="T1086" t="s">
        <v>152</v>
      </c>
      <c r="U1086">
        <v>0.14060143999999999</v>
      </c>
      <c r="V1086" t="s">
        <v>363</v>
      </c>
      <c r="W1086">
        <v>7.3184120000000005E-2</v>
      </c>
    </row>
    <row r="1087" spans="1:23" x14ac:dyDescent="0.25">
      <c r="A1087" s="3" t="str">
        <f>HYPERLINK("http://ids.si.edu/ids/deliveryService?id=NMAH-ET2016-10419","NMAH-ET2016-10419")</f>
        <v>NMAH-ET2016-10419</v>
      </c>
      <c r="B1087" s="3" t="s">
        <v>2601</v>
      </c>
      <c r="C1087" s="3">
        <v>1148000</v>
      </c>
      <c r="D1087" s="3" t="s">
        <v>1167</v>
      </c>
      <c r="E1087" s="4" t="s">
        <v>2602</v>
      </c>
      <c r="F1087" t="s">
        <v>126</v>
      </c>
      <c r="G1087">
        <v>0.88021373748779297</v>
      </c>
      <c r="H1087" t="s">
        <v>61</v>
      </c>
      <c r="I1087">
        <v>0.85248786211013794</v>
      </c>
      <c r="J1087" t="s">
        <v>112</v>
      </c>
      <c r="K1087" s="4">
        <v>0.78258353471755981</v>
      </c>
      <c r="L1087" t="s">
        <v>144</v>
      </c>
      <c r="M1087">
        <v>0.28533712</v>
      </c>
      <c r="N1087" t="s">
        <v>67</v>
      </c>
      <c r="O1087">
        <v>0.21499608000000001</v>
      </c>
      <c r="P1087" t="s">
        <v>563</v>
      </c>
      <c r="Q1087" s="4">
        <v>7.7407815000000005E-2</v>
      </c>
      <c r="R1087" t="s">
        <v>29</v>
      </c>
      <c r="S1087">
        <v>9.4036830000000002E-2</v>
      </c>
      <c r="T1087" t="s">
        <v>144</v>
      </c>
      <c r="U1087">
        <v>5.7741605000000001E-2</v>
      </c>
      <c r="V1087" t="s">
        <v>168</v>
      </c>
      <c r="W1087">
        <v>4.4974720000000003E-2</v>
      </c>
    </row>
    <row r="1088" spans="1:23" x14ac:dyDescent="0.25">
      <c r="A1088" s="3" t="str">
        <f>HYPERLINK("http://ids.si.edu/ids/deliveryService?id=NMAH-AHB2013q070600","NMAH-AHB2013q070600")</f>
        <v>NMAH-AHB2013q070600</v>
      </c>
      <c r="B1088" s="3" t="s">
        <v>2603</v>
      </c>
      <c r="C1088" s="3">
        <v>719521</v>
      </c>
      <c r="D1088" s="3" t="s">
        <v>1167</v>
      </c>
      <c r="E1088" s="4" t="s">
        <v>2604</v>
      </c>
      <c r="F1088" t="s">
        <v>50</v>
      </c>
      <c r="G1088">
        <v>0.5114516019821167</v>
      </c>
      <c r="L1088" t="s">
        <v>141</v>
      </c>
      <c r="M1088">
        <v>0.36160680000000001</v>
      </c>
      <c r="N1088" t="s">
        <v>185</v>
      </c>
      <c r="O1088">
        <v>0.3143184</v>
      </c>
      <c r="P1088" t="s">
        <v>239</v>
      </c>
      <c r="Q1088" s="4">
        <v>9.3164590000000005E-2</v>
      </c>
      <c r="R1088" t="s">
        <v>141</v>
      </c>
      <c r="S1088">
        <v>0.26056691999999998</v>
      </c>
      <c r="T1088" t="s">
        <v>239</v>
      </c>
      <c r="U1088">
        <v>0.10313123</v>
      </c>
      <c r="V1088" t="s">
        <v>185</v>
      </c>
      <c r="W1088">
        <v>7.3930860000000001E-2</v>
      </c>
    </row>
    <row r="1089" spans="1:23" x14ac:dyDescent="0.25">
      <c r="A1089" s="3" t="str">
        <f>HYPERLINK("http://ids.si.edu/ids/deliveryService?id=NMAH-AHB2017q057057","NMAH-AHB2017q057057")</f>
        <v>NMAH-AHB2017q057057</v>
      </c>
      <c r="B1089" s="3" t="s">
        <v>2605</v>
      </c>
      <c r="C1089" s="3">
        <v>1348509</v>
      </c>
      <c r="D1089" s="3" t="s">
        <v>1167</v>
      </c>
      <c r="E1089" s="4" t="s">
        <v>146</v>
      </c>
      <c r="F1089" t="s">
        <v>132</v>
      </c>
      <c r="G1089">
        <v>0.93388175964355469</v>
      </c>
      <c r="H1089" t="s">
        <v>38</v>
      </c>
      <c r="I1089">
        <v>0.69414693117141724</v>
      </c>
      <c r="J1089" t="s">
        <v>206</v>
      </c>
      <c r="K1089" s="4">
        <v>0.66557526588439941</v>
      </c>
      <c r="L1089" t="s">
        <v>151</v>
      </c>
      <c r="M1089">
        <v>0.61800354999999996</v>
      </c>
      <c r="N1089" t="s">
        <v>66</v>
      </c>
      <c r="O1089">
        <v>4.445901E-2</v>
      </c>
      <c r="P1089" t="s">
        <v>460</v>
      </c>
      <c r="Q1089" s="4">
        <v>3.4702499999999997E-2</v>
      </c>
      <c r="R1089" t="s">
        <v>151</v>
      </c>
      <c r="S1089">
        <v>0.3609213</v>
      </c>
      <c r="T1089" t="s">
        <v>765</v>
      </c>
      <c r="U1089">
        <v>7.006387E-2</v>
      </c>
      <c r="V1089" t="s">
        <v>685</v>
      </c>
      <c r="W1089">
        <v>6.5589264000000008E-2</v>
      </c>
    </row>
    <row r="1090" spans="1:23" x14ac:dyDescent="0.25">
      <c r="A1090" s="3" t="str">
        <f>HYPERLINK("http://ids.si.edu/ids/deliveryService?id=NMAH-AHB2017q057286","NMAH-AHB2017q057286")</f>
        <v>NMAH-AHB2017q057286</v>
      </c>
      <c r="B1090" s="3" t="s">
        <v>2606</v>
      </c>
      <c r="C1090" s="3">
        <v>1335698</v>
      </c>
      <c r="D1090" s="3" t="s">
        <v>1167</v>
      </c>
      <c r="E1090" s="4" t="s">
        <v>1097</v>
      </c>
      <c r="F1090" t="s">
        <v>441</v>
      </c>
      <c r="G1090">
        <v>0.71206289529800415</v>
      </c>
      <c r="H1090" t="s">
        <v>1016</v>
      </c>
      <c r="I1090">
        <v>0.6991998553276062</v>
      </c>
      <c r="J1090" t="s">
        <v>615</v>
      </c>
      <c r="K1090" s="4">
        <v>0.68966531753540039</v>
      </c>
      <c r="L1090" t="s">
        <v>151</v>
      </c>
      <c r="M1090">
        <v>0.39570817000000003</v>
      </c>
      <c r="N1090" t="s">
        <v>443</v>
      </c>
      <c r="O1090">
        <v>6.6648250000000006E-2</v>
      </c>
      <c r="P1090" t="s">
        <v>398</v>
      </c>
      <c r="Q1090" s="4">
        <v>5.0490911999999999E-2</v>
      </c>
      <c r="R1090" t="s">
        <v>151</v>
      </c>
      <c r="S1090">
        <v>0.20720409000000001</v>
      </c>
      <c r="T1090" t="s">
        <v>443</v>
      </c>
      <c r="U1090">
        <v>0.15167660999999999</v>
      </c>
      <c r="V1090" t="s">
        <v>765</v>
      </c>
      <c r="W1090">
        <v>6.4835994999999993E-2</v>
      </c>
    </row>
    <row r="1091" spans="1:23" x14ac:dyDescent="0.25">
      <c r="A1091" s="3" t="str">
        <f>HYPERLINK("http://ids.si.edu/ids/deliveryService?id=NMAH-AHB2012q68630-000001","NMAH-AHB2012q68630-000001")</f>
        <v>NMAH-AHB2012q68630-000001</v>
      </c>
      <c r="B1091" s="3" t="s">
        <v>2607</v>
      </c>
      <c r="C1091" s="3">
        <v>1298500</v>
      </c>
      <c r="D1091" s="3" t="s">
        <v>1167</v>
      </c>
      <c r="E1091" s="4" t="s">
        <v>1173</v>
      </c>
      <c r="F1091" t="s">
        <v>196</v>
      </c>
      <c r="G1091">
        <v>0.71537578105926514</v>
      </c>
      <c r="H1091" t="s">
        <v>112</v>
      </c>
      <c r="I1091">
        <v>0.68572378158569336</v>
      </c>
      <c r="J1091" t="s">
        <v>301</v>
      </c>
      <c r="K1091" s="4">
        <v>0.6113276481628418</v>
      </c>
      <c r="L1091" t="s">
        <v>190</v>
      </c>
      <c r="M1091">
        <v>0.23773226</v>
      </c>
      <c r="N1091" t="s">
        <v>66</v>
      </c>
      <c r="O1091">
        <v>0.19031787999999999</v>
      </c>
      <c r="P1091" t="s">
        <v>1260</v>
      </c>
      <c r="Q1091" s="4">
        <v>6.8684540000000002E-2</v>
      </c>
      <c r="R1091" t="s">
        <v>66</v>
      </c>
      <c r="S1091">
        <v>0.11265433</v>
      </c>
      <c r="T1091" t="s">
        <v>628</v>
      </c>
      <c r="U1091">
        <v>6.9503404000000005E-2</v>
      </c>
      <c r="V1091" t="s">
        <v>302</v>
      </c>
      <c r="W1091">
        <v>6.0630650000000001E-2</v>
      </c>
    </row>
    <row r="1092" spans="1:23" x14ac:dyDescent="0.25">
      <c r="A1092" s="3" t="str">
        <f>HYPERLINK("http://ids.si.edu/ids/deliveryService?id=NMAH-AHB2017q060176","NMAH-AHB2017q060176")</f>
        <v>NMAH-AHB2017q060176</v>
      </c>
      <c r="B1092" s="3" t="s">
        <v>2608</v>
      </c>
      <c r="C1092" s="3">
        <v>2708</v>
      </c>
      <c r="D1092" s="3" t="s">
        <v>1167</v>
      </c>
      <c r="E1092" s="4" t="s">
        <v>2585</v>
      </c>
      <c r="F1092" t="s">
        <v>603</v>
      </c>
      <c r="G1092">
        <v>0.91949689388275146</v>
      </c>
      <c r="H1092" t="s">
        <v>1623</v>
      </c>
      <c r="I1092">
        <v>0.88784807920455933</v>
      </c>
      <c r="J1092" t="s">
        <v>1623</v>
      </c>
      <c r="K1092" s="4">
        <v>0.7686760425567627</v>
      </c>
      <c r="L1092" t="s">
        <v>151</v>
      </c>
      <c r="M1092">
        <v>0.26207900000000001</v>
      </c>
      <c r="N1092" t="s">
        <v>1028</v>
      </c>
      <c r="O1092">
        <v>0.10982627</v>
      </c>
      <c r="P1092" t="s">
        <v>2609</v>
      </c>
      <c r="Q1092" s="4">
        <v>6.5015264000000003E-2</v>
      </c>
      <c r="R1092" t="s">
        <v>151</v>
      </c>
      <c r="S1092">
        <v>0.19400579000000001</v>
      </c>
      <c r="T1092" t="s">
        <v>2609</v>
      </c>
      <c r="U1092">
        <v>0.14663765000000001</v>
      </c>
      <c r="V1092" t="s">
        <v>95</v>
      </c>
      <c r="W1092">
        <v>6.2542899999999998E-2</v>
      </c>
    </row>
    <row r="1093" spans="1:23" x14ac:dyDescent="0.25">
      <c r="A1093" s="3" t="str">
        <f>HYPERLINK("http://ids.si.edu/ids/deliveryService?id=NMAH-AHB2017q128654","NMAH-AHB2017q128654")</f>
        <v>NMAH-AHB2017q128654</v>
      </c>
      <c r="B1093" s="3" t="s">
        <v>2610</v>
      </c>
      <c r="C1093" s="3">
        <v>748721</v>
      </c>
      <c r="D1093" s="3" t="s">
        <v>1167</v>
      </c>
      <c r="E1093" s="4" t="s">
        <v>1398</v>
      </c>
      <c r="F1093" t="s">
        <v>26</v>
      </c>
      <c r="G1093">
        <v>0.88341498374938965</v>
      </c>
      <c r="H1093" t="s">
        <v>50</v>
      </c>
      <c r="I1093">
        <v>0.69359874725341797</v>
      </c>
      <c r="J1093" t="s">
        <v>27</v>
      </c>
      <c r="K1093" s="4">
        <v>0.6641467809677124</v>
      </c>
      <c r="L1093" t="s">
        <v>212</v>
      </c>
      <c r="M1093">
        <v>0.89818673999999998</v>
      </c>
      <c r="N1093" t="s">
        <v>600</v>
      </c>
      <c r="O1093">
        <v>3.2833349999999997E-2</v>
      </c>
      <c r="P1093" t="s">
        <v>554</v>
      </c>
      <c r="Q1093" s="4">
        <v>1.3979159999999999E-2</v>
      </c>
      <c r="R1093" t="s">
        <v>212</v>
      </c>
      <c r="S1093">
        <v>0.61017615000000003</v>
      </c>
      <c r="T1093" t="s">
        <v>32</v>
      </c>
      <c r="U1093">
        <v>7.4715970000000007E-2</v>
      </c>
      <c r="V1093" t="s">
        <v>34</v>
      </c>
      <c r="W1093">
        <v>2.4837735999999999E-2</v>
      </c>
    </row>
    <row r="1094" spans="1:23" x14ac:dyDescent="0.25">
      <c r="A1094" s="3" t="str">
        <f>HYPERLINK("http://ids.si.edu/ids/deliveryService?id=NMAH-AHB2012q65209-000001","NMAH-AHB2012q65209-000001")</f>
        <v>NMAH-AHB2012q65209-000001</v>
      </c>
      <c r="B1094" s="3" t="s">
        <v>2611</v>
      </c>
      <c r="C1094" s="3">
        <v>716946</v>
      </c>
      <c r="D1094" s="3" t="s">
        <v>1167</v>
      </c>
      <c r="E1094" s="4" t="s">
        <v>1173</v>
      </c>
      <c r="F1094" t="s">
        <v>486</v>
      </c>
      <c r="G1094">
        <v>0.58567947149276733</v>
      </c>
      <c r="H1094" t="s">
        <v>49</v>
      </c>
      <c r="I1094">
        <v>0.54739105701446533</v>
      </c>
      <c r="J1094" t="s">
        <v>188</v>
      </c>
      <c r="K1094" s="4">
        <v>0.54580080509185791</v>
      </c>
      <c r="L1094" t="s">
        <v>66</v>
      </c>
      <c r="M1094">
        <v>0.22575516000000001</v>
      </c>
      <c r="N1094" t="s">
        <v>184</v>
      </c>
      <c r="O1094">
        <v>0.18094857</v>
      </c>
      <c r="P1094" t="s">
        <v>209</v>
      </c>
      <c r="Q1094" s="4">
        <v>0.12595832000000001</v>
      </c>
      <c r="R1094" t="s">
        <v>813</v>
      </c>
      <c r="S1094">
        <v>0.54856450000000001</v>
      </c>
      <c r="T1094" t="s">
        <v>303</v>
      </c>
      <c r="U1094">
        <v>5.4359056000000003E-2</v>
      </c>
      <c r="V1094" t="s">
        <v>363</v>
      </c>
      <c r="W1094">
        <v>4.1509747999999999E-2</v>
      </c>
    </row>
    <row r="1095" spans="1:23" x14ac:dyDescent="0.25">
      <c r="A1095" s="3" t="str">
        <f>HYPERLINK("http://ids.si.edu/ids/deliveryService?id=NMAH-JN2017-01171-000001","NMAH-JN2017-01171-000001")</f>
        <v>NMAH-JN2017-01171-000001</v>
      </c>
      <c r="B1095" s="3" t="s">
        <v>2612</v>
      </c>
      <c r="C1095" s="3">
        <v>833897</v>
      </c>
      <c r="D1095" s="3" t="s">
        <v>1167</v>
      </c>
      <c r="E1095" s="4" t="s">
        <v>2613</v>
      </c>
      <c r="F1095" t="s">
        <v>91</v>
      </c>
      <c r="G1095">
        <v>0.91031128168106079</v>
      </c>
      <c r="H1095" t="s">
        <v>475</v>
      </c>
      <c r="I1095">
        <v>0.58547496795654297</v>
      </c>
      <c r="L1095" t="s">
        <v>363</v>
      </c>
      <c r="M1095">
        <v>0.92829024999999998</v>
      </c>
      <c r="N1095" t="s">
        <v>334</v>
      </c>
      <c r="O1095">
        <v>4.4194862000000001E-2</v>
      </c>
      <c r="P1095" t="s">
        <v>82</v>
      </c>
      <c r="Q1095" s="4">
        <v>3.9568229999999999E-3</v>
      </c>
      <c r="R1095" t="s">
        <v>363</v>
      </c>
      <c r="S1095">
        <v>0.40358107999999998</v>
      </c>
      <c r="T1095" t="s">
        <v>312</v>
      </c>
      <c r="U1095">
        <v>0.23046050000000001</v>
      </c>
      <c r="V1095" t="s">
        <v>362</v>
      </c>
      <c r="W1095">
        <v>7.6794639999999997E-2</v>
      </c>
    </row>
    <row r="1096" spans="1:23" x14ac:dyDescent="0.25">
      <c r="A1096" s="3" t="str">
        <f>HYPERLINK("http://ids.si.edu/ids/deliveryService?id=NMAH-AHB2017q060309","NMAH-AHB2017q060309")</f>
        <v>NMAH-AHB2017q060309</v>
      </c>
      <c r="B1096" s="3" t="s">
        <v>2614</v>
      </c>
      <c r="C1096" s="3">
        <v>2853</v>
      </c>
      <c r="D1096" s="3" t="s">
        <v>1167</v>
      </c>
      <c r="E1096" s="4" t="s">
        <v>1292</v>
      </c>
      <c r="F1096" t="s">
        <v>132</v>
      </c>
      <c r="G1096">
        <v>0.88201820850372314</v>
      </c>
      <c r="H1096" t="s">
        <v>1310</v>
      </c>
      <c r="I1096">
        <v>0.61683875322341919</v>
      </c>
      <c r="J1096" t="s">
        <v>1311</v>
      </c>
      <c r="K1096" s="4">
        <v>0.53107357025146484</v>
      </c>
      <c r="L1096" t="s">
        <v>1354</v>
      </c>
      <c r="M1096">
        <v>0.15299251999999999</v>
      </c>
      <c r="N1096" t="s">
        <v>87</v>
      </c>
      <c r="O1096">
        <v>0.11140265000000001</v>
      </c>
      <c r="P1096" t="s">
        <v>389</v>
      </c>
      <c r="Q1096" s="4">
        <v>8.0523189999999994E-2</v>
      </c>
      <c r="R1096" t="s">
        <v>1215</v>
      </c>
      <c r="S1096">
        <v>0.1895144</v>
      </c>
      <c r="T1096" t="s">
        <v>151</v>
      </c>
      <c r="U1096">
        <v>0.18915471</v>
      </c>
      <c r="V1096" t="s">
        <v>495</v>
      </c>
      <c r="W1096">
        <v>0.14358972</v>
      </c>
    </row>
    <row r="1097" spans="1:23" x14ac:dyDescent="0.25">
      <c r="A1097" s="3" t="str">
        <f>HYPERLINK("http://ids.si.edu/ids/deliveryService?id=NMAH-AHB2017q058413","NMAH-AHB2017q058413")</f>
        <v>NMAH-AHB2017q058413</v>
      </c>
      <c r="B1097" s="3" t="s">
        <v>2615</v>
      </c>
      <c r="C1097" s="3">
        <v>1393144</v>
      </c>
      <c r="D1097" s="3" t="s">
        <v>1167</v>
      </c>
      <c r="E1097" s="4" t="s">
        <v>51</v>
      </c>
      <c r="F1097" t="s">
        <v>1150</v>
      </c>
      <c r="G1097">
        <v>0.73521465063095093</v>
      </c>
      <c r="H1097" t="s">
        <v>441</v>
      </c>
      <c r="I1097">
        <v>0.6757805347442627</v>
      </c>
      <c r="J1097" t="s">
        <v>90</v>
      </c>
      <c r="K1097" s="4">
        <v>0.61177396774291992</v>
      </c>
      <c r="L1097" t="s">
        <v>93</v>
      </c>
      <c r="M1097">
        <v>0.6862166999999999</v>
      </c>
      <c r="N1097" t="s">
        <v>689</v>
      </c>
      <c r="O1097">
        <v>9.4046704000000009E-2</v>
      </c>
      <c r="P1097" t="s">
        <v>1277</v>
      </c>
      <c r="Q1097" s="4">
        <v>3.9366237999999998E-2</v>
      </c>
      <c r="R1097" t="s">
        <v>502</v>
      </c>
      <c r="S1097">
        <v>0.25715142000000002</v>
      </c>
      <c r="T1097" t="s">
        <v>93</v>
      </c>
      <c r="U1097">
        <v>9.6473909999999996E-2</v>
      </c>
      <c r="V1097" t="s">
        <v>51</v>
      </c>
      <c r="W1097">
        <v>8.5725770000000007E-2</v>
      </c>
    </row>
    <row r="1098" spans="1:23" x14ac:dyDescent="0.25">
      <c r="A1098" s="3" t="str">
        <f>HYPERLINK("http://ids.si.edu/ids/deliveryService?id=NMAH-AHB2012q63276","NMAH-AHB2012q63276")</f>
        <v>NMAH-AHB2012q63276</v>
      </c>
      <c r="B1098" s="3" t="s">
        <v>2616</v>
      </c>
      <c r="C1098" s="3">
        <v>715458</v>
      </c>
      <c r="D1098" s="3" t="s">
        <v>1167</v>
      </c>
      <c r="E1098" s="4" t="s">
        <v>1173</v>
      </c>
      <c r="F1098" t="s">
        <v>1188</v>
      </c>
      <c r="G1098">
        <v>0.96059226989746094</v>
      </c>
      <c r="H1098" t="s">
        <v>1174</v>
      </c>
      <c r="I1098">
        <v>0.95937496423721313</v>
      </c>
      <c r="J1098" t="s">
        <v>1280</v>
      </c>
      <c r="K1098" s="4">
        <v>0.95925933122634888</v>
      </c>
      <c r="L1098" t="s">
        <v>312</v>
      </c>
      <c r="M1098">
        <v>0.42875046</v>
      </c>
      <c r="N1098" t="s">
        <v>461</v>
      </c>
      <c r="O1098">
        <v>0.41843599999999997</v>
      </c>
      <c r="P1098" t="s">
        <v>923</v>
      </c>
      <c r="Q1098" s="4">
        <v>3.7830725000000003E-2</v>
      </c>
      <c r="R1098" t="s">
        <v>312</v>
      </c>
      <c r="S1098">
        <v>0.64657609999999999</v>
      </c>
      <c r="T1098" t="s">
        <v>627</v>
      </c>
      <c r="U1098">
        <v>0.16999868000000001</v>
      </c>
      <c r="V1098" t="s">
        <v>461</v>
      </c>
      <c r="W1098">
        <v>2.2468164999999998E-2</v>
      </c>
    </row>
    <row r="1099" spans="1:23" x14ac:dyDescent="0.25">
      <c r="A1099" s="3" t="str">
        <f>HYPERLINK("http://ids.si.edu/ids/deliveryService?id=NMAH-AHB2017q054823","NMAH-AHB2017q054823")</f>
        <v>NMAH-AHB2017q054823</v>
      </c>
      <c r="B1099" s="3" t="s">
        <v>2617</v>
      </c>
      <c r="C1099" s="3">
        <v>1318850</v>
      </c>
      <c r="D1099" s="3" t="s">
        <v>1167</v>
      </c>
      <c r="E1099" s="4" t="s">
        <v>1260</v>
      </c>
      <c r="F1099" t="s">
        <v>132</v>
      </c>
      <c r="G1099">
        <v>0.88201820850372314</v>
      </c>
      <c r="H1099" t="s">
        <v>38</v>
      </c>
      <c r="I1099">
        <v>0.67537689208984375</v>
      </c>
      <c r="J1099" t="s">
        <v>49</v>
      </c>
      <c r="K1099" s="4">
        <v>0.54739105701446533</v>
      </c>
      <c r="L1099" t="s">
        <v>151</v>
      </c>
      <c r="M1099">
        <v>0.44253369999999997</v>
      </c>
      <c r="N1099" t="s">
        <v>66</v>
      </c>
      <c r="O1099">
        <v>0.16336719999999999</v>
      </c>
      <c r="P1099" t="s">
        <v>190</v>
      </c>
      <c r="Q1099" s="4">
        <v>3.2270093E-2</v>
      </c>
      <c r="R1099" t="s">
        <v>151</v>
      </c>
      <c r="S1099">
        <v>0.49736672999999998</v>
      </c>
      <c r="T1099" t="s">
        <v>95</v>
      </c>
      <c r="U1099">
        <v>0.10464051000000001</v>
      </c>
      <c r="V1099" t="s">
        <v>66</v>
      </c>
      <c r="W1099">
        <v>5.0581544999999999E-2</v>
      </c>
    </row>
    <row r="1100" spans="1:23" x14ac:dyDescent="0.25">
      <c r="A1100" s="3" t="str">
        <f>HYPERLINK("http://ids.si.edu/ids/deliveryService?id=NMAH-AHB2013q073010","NMAH-AHB2013q073010")</f>
        <v>NMAH-AHB2013q073010</v>
      </c>
      <c r="B1100" s="3" t="s">
        <v>2618</v>
      </c>
      <c r="C1100" s="3">
        <v>688386</v>
      </c>
      <c r="D1100" s="3" t="s">
        <v>1167</v>
      </c>
      <c r="E1100" s="4" t="s">
        <v>2619</v>
      </c>
      <c r="F1100" t="s">
        <v>91</v>
      </c>
      <c r="G1100">
        <v>0.96694082021713257</v>
      </c>
      <c r="H1100" t="s">
        <v>1187</v>
      </c>
      <c r="I1100">
        <v>0.83610779047012329</v>
      </c>
      <c r="J1100" t="s">
        <v>2620</v>
      </c>
      <c r="K1100" s="4">
        <v>0.66562646627426147</v>
      </c>
      <c r="L1100" t="s">
        <v>627</v>
      </c>
      <c r="M1100">
        <v>0.75814150000000002</v>
      </c>
      <c r="N1100" t="s">
        <v>1238</v>
      </c>
      <c r="O1100">
        <v>4.2469541999999999E-2</v>
      </c>
      <c r="P1100" t="s">
        <v>312</v>
      </c>
      <c r="Q1100" s="4">
        <v>3.6031680000000003E-2</v>
      </c>
      <c r="R1100" t="s">
        <v>627</v>
      </c>
      <c r="S1100">
        <v>0.37276989999999999</v>
      </c>
      <c r="T1100" t="s">
        <v>312</v>
      </c>
      <c r="U1100">
        <v>0.25133765000000002</v>
      </c>
      <c r="V1100" t="s">
        <v>1238</v>
      </c>
      <c r="W1100">
        <v>6.4390890000000006E-2</v>
      </c>
    </row>
    <row r="1101" spans="1:23" x14ac:dyDescent="0.25">
      <c r="A1101" s="3" t="str">
        <f>HYPERLINK("http://ids.si.edu/ids/deliveryService?id=NMAH-AHB2016q010078","NMAH-AHB2016q010078")</f>
        <v>NMAH-AHB2016q010078</v>
      </c>
      <c r="B1101" s="3" t="s">
        <v>2621</v>
      </c>
      <c r="C1101" s="3">
        <v>733722</v>
      </c>
      <c r="D1101" s="3" t="s">
        <v>1167</v>
      </c>
      <c r="E1101" s="4" t="s">
        <v>2622</v>
      </c>
      <c r="F1101" t="s">
        <v>856</v>
      </c>
      <c r="G1101">
        <v>0.97711694240570068</v>
      </c>
      <c r="H1101" t="s">
        <v>2623</v>
      </c>
      <c r="I1101">
        <v>0.80898314714431763</v>
      </c>
      <c r="J1101" t="s">
        <v>1162</v>
      </c>
      <c r="K1101" s="4">
        <v>0.72491854429244995</v>
      </c>
      <c r="L1101" t="s">
        <v>627</v>
      </c>
      <c r="M1101">
        <v>0.47246497999999998</v>
      </c>
      <c r="N1101" t="s">
        <v>1158</v>
      </c>
      <c r="O1101">
        <v>0.11905757</v>
      </c>
      <c r="P1101" t="s">
        <v>334</v>
      </c>
      <c r="Q1101" s="4">
        <v>5.9774055999999999E-2</v>
      </c>
      <c r="R1101" t="s">
        <v>2490</v>
      </c>
      <c r="S1101">
        <v>0.16705696</v>
      </c>
      <c r="T1101" t="s">
        <v>853</v>
      </c>
      <c r="U1101">
        <v>7.8805029999999998E-2</v>
      </c>
      <c r="V1101" t="s">
        <v>1158</v>
      </c>
      <c r="W1101">
        <v>7.2025829999999999E-2</v>
      </c>
    </row>
    <row r="1102" spans="1:23" x14ac:dyDescent="0.25">
      <c r="A1102" s="3" t="str">
        <f>HYPERLINK("http://ids.si.edu/ids/deliveryService?id=NMAH-AHB2017q128776","NMAH-AHB2017q128776")</f>
        <v>NMAH-AHB2017q128776</v>
      </c>
      <c r="B1102" s="3" t="s">
        <v>2624</v>
      </c>
      <c r="C1102" s="3">
        <v>1832844</v>
      </c>
      <c r="D1102" s="3" t="s">
        <v>1167</v>
      </c>
      <c r="E1102" s="4" t="s">
        <v>2625</v>
      </c>
      <c r="L1102" t="s">
        <v>560</v>
      </c>
      <c r="M1102">
        <v>0.38472476999999999</v>
      </c>
      <c r="N1102" t="s">
        <v>53</v>
      </c>
      <c r="O1102">
        <v>0.12661253</v>
      </c>
      <c r="P1102" t="s">
        <v>226</v>
      </c>
      <c r="Q1102" s="4">
        <v>0.12037277</v>
      </c>
      <c r="R1102" t="s">
        <v>53</v>
      </c>
      <c r="S1102">
        <v>4.7845569999999997E-2</v>
      </c>
      <c r="T1102" t="s">
        <v>52</v>
      </c>
      <c r="U1102">
        <v>4.6950343999999998E-2</v>
      </c>
      <c r="V1102" t="s">
        <v>601</v>
      </c>
      <c r="W1102">
        <v>4.2492825999999997E-2</v>
      </c>
    </row>
    <row r="1103" spans="1:23" x14ac:dyDescent="0.25">
      <c r="A1103" s="3" t="str">
        <f>HYPERLINK("http://ids.si.edu/ids/deliveryService?id=NMAH-AHB2017q049978","NMAH-AHB2017q049978")</f>
        <v>NMAH-AHB2017q049978</v>
      </c>
      <c r="B1103" s="3" t="s">
        <v>2626</v>
      </c>
      <c r="C1103" s="3">
        <v>1838964</v>
      </c>
      <c r="D1103" s="3" t="s">
        <v>1167</v>
      </c>
      <c r="E1103" s="4" t="s">
        <v>1386</v>
      </c>
      <c r="F1103" t="s">
        <v>91</v>
      </c>
      <c r="G1103">
        <v>0.88283330202102661</v>
      </c>
      <c r="H1103" t="s">
        <v>90</v>
      </c>
      <c r="I1103">
        <v>0.61177396774291992</v>
      </c>
      <c r="J1103" t="s">
        <v>50</v>
      </c>
      <c r="K1103" s="4">
        <v>0.5114516019821167</v>
      </c>
      <c r="L1103" t="s">
        <v>141</v>
      </c>
      <c r="M1103">
        <v>0.16941819999999999</v>
      </c>
      <c r="N1103" t="s">
        <v>392</v>
      </c>
      <c r="O1103">
        <v>0.15481958000000001</v>
      </c>
      <c r="P1103" t="s">
        <v>1023</v>
      </c>
      <c r="Q1103" s="4">
        <v>9.5739359999999996E-2</v>
      </c>
      <c r="R1103" t="s">
        <v>392</v>
      </c>
      <c r="S1103">
        <v>0.58760922999999998</v>
      </c>
      <c r="T1103" t="s">
        <v>148</v>
      </c>
      <c r="U1103">
        <v>9.7853560000000006E-2</v>
      </c>
      <c r="V1103" t="s">
        <v>141</v>
      </c>
      <c r="W1103">
        <v>4.8610028E-2</v>
      </c>
    </row>
    <row r="1104" spans="1:23" x14ac:dyDescent="0.25">
      <c r="A1104" s="3" t="str">
        <f>HYPERLINK("http://ids.si.edu/ids/deliveryService?id=NMAH-AHB2017q048176","NMAH-AHB2017q048176")</f>
        <v>NMAH-AHB2017q048176</v>
      </c>
      <c r="B1104" s="3" t="s">
        <v>2627</v>
      </c>
      <c r="C1104" s="3">
        <v>2701</v>
      </c>
      <c r="D1104" s="3" t="s">
        <v>1167</v>
      </c>
      <c r="E1104" s="4" t="s">
        <v>2628</v>
      </c>
      <c r="F1104" t="s">
        <v>61</v>
      </c>
      <c r="G1104">
        <v>0.85248786211013794</v>
      </c>
      <c r="H1104" t="s">
        <v>2629</v>
      </c>
      <c r="I1104">
        <v>0.73479872941970825</v>
      </c>
      <c r="J1104" t="s">
        <v>281</v>
      </c>
      <c r="K1104" s="4">
        <v>0.72817248106002808</v>
      </c>
      <c r="L1104" t="s">
        <v>2082</v>
      </c>
      <c r="M1104">
        <v>7.6367350000000001E-2</v>
      </c>
      <c r="N1104" t="s">
        <v>1338</v>
      </c>
      <c r="O1104">
        <v>6.1846844999999998E-2</v>
      </c>
      <c r="P1104" t="s">
        <v>1876</v>
      </c>
      <c r="Q1104" s="4">
        <v>3.4350563000000001E-2</v>
      </c>
      <c r="R1104" t="s">
        <v>29</v>
      </c>
      <c r="S1104">
        <v>0.19417313999999999</v>
      </c>
      <c r="T1104" t="s">
        <v>610</v>
      </c>
      <c r="U1104">
        <v>7.4431899999999995E-2</v>
      </c>
      <c r="V1104" t="s">
        <v>79</v>
      </c>
      <c r="W1104">
        <v>6.6838875000000006E-2</v>
      </c>
    </row>
    <row r="1105" spans="1:23" x14ac:dyDescent="0.25">
      <c r="A1105" s="3" t="str">
        <f>HYPERLINK("http://ids.si.edu/ids/deliveryService?id=NMAH-RWS2014-03670","NMAH-RWS2014-03670")</f>
        <v>NMAH-RWS2014-03670</v>
      </c>
      <c r="B1105" s="3" t="s">
        <v>2630</v>
      </c>
      <c r="C1105" s="3">
        <v>1302895</v>
      </c>
      <c r="D1105" s="3" t="s">
        <v>1167</v>
      </c>
      <c r="E1105" s="4" t="s">
        <v>2631</v>
      </c>
      <c r="F1105" t="s">
        <v>91</v>
      </c>
      <c r="G1105">
        <v>0.96295428276062012</v>
      </c>
      <c r="L1105" t="s">
        <v>363</v>
      </c>
      <c r="M1105">
        <v>0.3892447</v>
      </c>
      <c r="N1105" t="s">
        <v>1168</v>
      </c>
      <c r="O1105">
        <v>0.33442794999999997</v>
      </c>
      <c r="P1105" t="s">
        <v>1484</v>
      </c>
      <c r="Q1105" s="4">
        <v>5.9794996000000003E-2</v>
      </c>
      <c r="R1105" t="s">
        <v>363</v>
      </c>
      <c r="S1105">
        <v>0.95989539999999995</v>
      </c>
      <c r="T1105" t="s">
        <v>362</v>
      </c>
      <c r="U1105">
        <v>8.9652389999999998E-3</v>
      </c>
      <c r="V1105" t="s">
        <v>689</v>
      </c>
      <c r="W1105">
        <v>8.6164429999999997E-3</v>
      </c>
    </row>
    <row r="1106" spans="1:23" x14ac:dyDescent="0.25">
      <c r="A1106" s="3" t="str">
        <f>HYPERLINK("http://ids.si.edu/ids/deliveryService?id=NMAH-AHB2012q79045-000001","NMAH-AHB2012q79045-000001")</f>
        <v>NMAH-AHB2012q79045-000001</v>
      </c>
      <c r="B1106" s="3" t="s">
        <v>2632</v>
      </c>
      <c r="C1106" s="3">
        <v>1298421</v>
      </c>
      <c r="D1106" s="3" t="s">
        <v>1167</v>
      </c>
      <c r="E1106" s="4" t="s">
        <v>1173</v>
      </c>
      <c r="F1106" t="s">
        <v>1280</v>
      </c>
      <c r="G1106">
        <v>0.93197053670883179</v>
      </c>
      <c r="H1106" t="s">
        <v>1174</v>
      </c>
      <c r="I1106">
        <v>0.93030577898025513</v>
      </c>
      <c r="J1106" t="s">
        <v>91</v>
      </c>
      <c r="K1106" s="4">
        <v>0.88283330202102661</v>
      </c>
      <c r="L1106" t="s">
        <v>113</v>
      </c>
      <c r="M1106">
        <v>0.49429574999999998</v>
      </c>
      <c r="N1106" t="s">
        <v>1163</v>
      </c>
      <c r="O1106">
        <v>0.24268575000000001</v>
      </c>
      <c r="P1106" t="s">
        <v>312</v>
      </c>
      <c r="Q1106" s="4">
        <v>0.11264107399999999</v>
      </c>
      <c r="R1106" t="s">
        <v>312</v>
      </c>
      <c r="S1106">
        <v>0.11275634</v>
      </c>
      <c r="T1106" t="s">
        <v>1042</v>
      </c>
      <c r="U1106">
        <v>0.10963095</v>
      </c>
      <c r="V1106" t="s">
        <v>923</v>
      </c>
      <c r="W1106">
        <v>8.2621539999999993E-2</v>
      </c>
    </row>
    <row r="1107" spans="1:23" x14ac:dyDescent="0.25">
      <c r="A1107" s="3" t="str">
        <f>HYPERLINK("http://ids.si.edu/ids/deliveryService?id=NMAH-AHB2017q062136","NMAH-AHB2017q062136")</f>
        <v>NMAH-AHB2017q062136</v>
      </c>
      <c r="B1107" s="3" t="s">
        <v>2633</v>
      </c>
      <c r="C1107" s="3">
        <v>2569</v>
      </c>
      <c r="D1107" s="3" t="s">
        <v>1167</v>
      </c>
      <c r="E1107" s="4" t="s">
        <v>2634</v>
      </c>
      <c r="F1107" t="s">
        <v>236</v>
      </c>
      <c r="G1107">
        <v>0.75916659832000732</v>
      </c>
      <c r="H1107" t="s">
        <v>922</v>
      </c>
      <c r="I1107">
        <v>0.55707865953445435</v>
      </c>
      <c r="J1107" t="s">
        <v>2635</v>
      </c>
      <c r="K1107" s="4">
        <v>0.54224038124084473</v>
      </c>
      <c r="L1107" t="s">
        <v>239</v>
      </c>
      <c r="M1107">
        <v>0.83063349999999991</v>
      </c>
      <c r="N1107" t="s">
        <v>141</v>
      </c>
      <c r="O1107">
        <v>1.5821066000000002E-2</v>
      </c>
      <c r="P1107" t="s">
        <v>151</v>
      </c>
      <c r="Q1107" s="4">
        <v>1.432756E-2</v>
      </c>
      <c r="R1107" t="s">
        <v>239</v>
      </c>
      <c r="S1107">
        <v>0.32377538</v>
      </c>
      <c r="T1107" t="s">
        <v>365</v>
      </c>
      <c r="U1107">
        <v>0.12417812</v>
      </c>
      <c r="V1107" t="s">
        <v>303</v>
      </c>
      <c r="W1107">
        <v>8.681957400000001E-2</v>
      </c>
    </row>
    <row r="1108" spans="1:23" x14ac:dyDescent="0.25">
      <c r="A1108" s="3" t="str">
        <f>HYPERLINK("http://ids.si.edu/ids/deliveryService?id=NMAH-AHB2012q60558","NMAH-AHB2012q60558")</f>
        <v>NMAH-AHB2012q60558</v>
      </c>
      <c r="B1108" s="3" t="s">
        <v>2636</v>
      </c>
      <c r="C1108" s="3">
        <v>748633</v>
      </c>
      <c r="D1108" s="3" t="s">
        <v>1167</v>
      </c>
      <c r="E1108" s="4" t="s">
        <v>1173</v>
      </c>
      <c r="F1108" t="s">
        <v>1174</v>
      </c>
      <c r="G1108">
        <v>0.98078024387359619</v>
      </c>
      <c r="H1108" t="s">
        <v>1280</v>
      </c>
      <c r="I1108">
        <v>0.97913968563079834</v>
      </c>
      <c r="J1108" t="s">
        <v>1188</v>
      </c>
      <c r="K1108" s="4">
        <v>0.95258355140686035</v>
      </c>
      <c r="L1108" t="s">
        <v>923</v>
      </c>
      <c r="M1108">
        <v>0.29054724999999998</v>
      </c>
      <c r="N1108" t="s">
        <v>312</v>
      </c>
      <c r="O1108">
        <v>0.2171111</v>
      </c>
      <c r="P1108" t="s">
        <v>82</v>
      </c>
      <c r="Q1108" s="4">
        <v>5.8002092000000012E-2</v>
      </c>
      <c r="R1108" t="s">
        <v>923</v>
      </c>
      <c r="S1108">
        <v>0.20662688000000001</v>
      </c>
      <c r="T1108" t="s">
        <v>312</v>
      </c>
      <c r="U1108">
        <v>0.17610136000000001</v>
      </c>
      <c r="V1108" t="s">
        <v>363</v>
      </c>
      <c r="W1108">
        <v>0.15543751</v>
      </c>
    </row>
    <row r="1109" spans="1:23" x14ac:dyDescent="0.25">
      <c r="A1109" s="3" t="str">
        <f>HYPERLINK("http://ids.si.edu/ids/deliveryService?id=NMAH-AHB2012q79063-000001","NMAH-AHB2012q79063-000001")</f>
        <v>NMAH-AHB2012q79063-000001</v>
      </c>
      <c r="B1109" s="3" t="s">
        <v>2637</v>
      </c>
      <c r="C1109" s="3">
        <v>209357</v>
      </c>
      <c r="D1109" s="3" t="s">
        <v>1167</v>
      </c>
      <c r="E1109" s="4" t="s">
        <v>1173</v>
      </c>
      <c r="F1109" t="s">
        <v>2489</v>
      </c>
      <c r="G1109">
        <v>0.93887931108474731</v>
      </c>
      <c r="H1109" t="s">
        <v>1174</v>
      </c>
      <c r="I1109">
        <v>0.93030577898025513</v>
      </c>
      <c r="J1109" t="s">
        <v>1280</v>
      </c>
      <c r="K1109" s="4">
        <v>0.92582660913467407</v>
      </c>
      <c r="L1109" t="s">
        <v>362</v>
      </c>
      <c r="M1109">
        <v>0.93546180000000001</v>
      </c>
      <c r="N1109" t="s">
        <v>821</v>
      </c>
      <c r="O1109">
        <v>1.4670021E-2</v>
      </c>
      <c r="P1109" t="s">
        <v>648</v>
      </c>
      <c r="Q1109" s="4">
        <v>1.0349435000000001E-2</v>
      </c>
      <c r="R1109" t="s">
        <v>627</v>
      </c>
      <c r="S1109">
        <v>0.22646859999999999</v>
      </c>
      <c r="T1109" t="s">
        <v>2490</v>
      </c>
      <c r="U1109">
        <v>0.19773336</v>
      </c>
      <c r="V1109" t="s">
        <v>362</v>
      </c>
      <c r="W1109">
        <v>0.14299496</v>
      </c>
    </row>
    <row r="1110" spans="1:23" x14ac:dyDescent="0.25">
      <c r="A1110" s="3" t="str">
        <f>HYPERLINK("http://ids.si.edu/ids/deliveryService?id=NMAH-JN2012-1330","NMAH-JN2012-1330")</f>
        <v>NMAH-JN2012-1330</v>
      </c>
      <c r="B1110" s="3" t="s">
        <v>2638</v>
      </c>
      <c r="C1110" s="3">
        <v>1184539</v>
      </c>
      <c r="D1110" s="3" t="s">
        <v>1167</v>
      </c>
      <c r="E1110" s="4" t="s">
        <v>2639</v>
      </c>
      <c r="F1110" t="s">
        <v>91</v>
      </c>
      <c r="G1110">
        <v>0.88283330202102661</v>
      </c>
      <c r="H1110" t="s">
        <v>441</v>
      </c>
      <c r="I1110">
        <v>0.81212377548217773</v>
      </c>
      <c r="J1110" t="s">
        <v>2640</v>
      </c>
      <c r="K1110" s="4">
        <v>0.80300754308700562</v>
      </c>
      <c r="L1110" t="s">
        <v>599</v>
      </c>
      <c r="M1110">
        <v>0.14412216999999999</v>
      </c>
      <c r="N1110" t="s">
        <v>1426</v>
      </c>
      <c r="O1110">
        <v>0.110119894</v>
      </c>
      <c r="P1110" t="s">
        <v>1427</v>
      </c>
      <c r="Q1110" s="4">
        <v>9.3897079999999994E-2</v>
      </c>
      <c r="R1110" t="s">
        <v>445</v>
      </c>
      <c r="S1110">
        <v>0.47161475000000003</v>
      </c>
      <c r="T1110" t="s">
        <v>1241</v>
      </c>
      <c r="U1110">
        <v>0.19621335000000001</v>
      </c>
      <c r="V1110" t="s">
        <v>338</v>
      </c>
      <c r="W1110">
        <v>0.123467416</v>
      </c>
    </row>
    <row r="1111" spans="1:23" x14ac:dyDescent="0.25">
      <c r="A1111" s="3" t="str">
        <f>HYPERLINK("http://ids.si.edu/ids/deliveryService?id=NMAH-AHB2017q061218","NMAH-AHB2017q061218")</f>
        <v>NMAH-AHB2017q061218</v>
      </c>
      <c r="B1111" s="3" t="s">
        <v>2641</v>
      </c>
      <c r="C1111" s="3">
        <v>1790</v>
      </c>
      <c r="D1111" s="3" t="s">
        <v>1167</v>
      </c>
      <c r="E1111" s="4" t="s">
        <v>2642</v>
      </c>
      <c r="F1111" t="s">
        <v>574</v>
      </c>
      <c r="G1111">
        <v>0.76225489377975464</v>
      </c>
      <c r="H1111" t="s">
        <v>2302</v>
      </c>
      <c r="I1111">
        <v>0.56089645624160767</v>
      </c>
      <c r="L1111" t="s">
        <v>82</v>
      </c>
      <c r="M1111">
        <v>0.44756742999999999</v>
      </c>
      <c r="N1111" t="s">
        <v>2486</v>
      </c>
      <c r="O1111">
        <v>0.16173576000000001</v>
      </c>
      <c r="P1111" t="s">
        <v>258</v>
      </c>
      <c r="Q1111" s="4">
        <v>9.2925585999999991E-2</v>
      </c>
      <c r="R1111" t="s">
        <v>82</v>
      </c>
      <c r="S1111">
        <v>0.45166107999999999</v>
      </c>
      <c r="T1111" t="s">
        <v>239</v>
      </c>
      <c r="U1111">
        <v>6.1106503E-2</v>
      </c>
      <c r="V1111" t="s">
        <v>84</v>
      </c>
      <c r="W1111">
        <v>4.2123637999999998E-2</v>
      </c>
    </row>
    <row r="1112" spans="1:23" x14ac:dyDescent="0.25">
      <c r="A1112" s="3" t="str">
        <f>HYPERLINK("http://ids.si.edu/ids/deliveryService?id=NMAH-AHB2017q052776","NMAH-AHB2017q052776")</f>
        <v>NMAH-AHB2017q052776</v>
      </c>
      <c r="B1112" s="3" t="s">
        <v>2643</v>
      </c>
      <c r="C1112" s="3">
        <v>1842344</v>
      </c>
      <c r="D1112" s="3" t="s">
        <v>1167</v>
      </c>
      <c r="E1112" s="4" t="s">
        <v>2644</v>
      </c>
      <c r="F1112" t="s">
        <v>147</v>
      </c>
      <c r="G1112">
        <v>0.91162091493606567</v>
      </c>
      <c r="H1112" t="s">
        <v>38</v>
      </c>
      <c r="I1112">
        <v>0.65184813737869263</v>
      </c>
      <c r="J1112" t="s">
        <v>178</v>
      </c>
      <c r="K1112" s="4">
        <v>0.56749182939529419</v>
      </c>
      <c r="L1112" t="s">
        <v>673</v>
      </c>
      <c r="M1112">
        <v>0.56757075000000001</v>
      </c>
      <c r="N1112" t="s">
        <v>184</v>
      </c>
      <c r="O1112">
        <v>0.12675813999999999</v>
      </c>
      <c r="P1112" t="s">
        <v>599</v>
      </c>
      <c r="Q1112" s="4">
        <v>5.4164049999999998E-2</v>
      </c>
      <c r="R1112" t="s">
        <v>184</v>
      </c>
      <c r="S1112">
        <v>0.28899910000000001</v>
      </c>
      <c r="T1112" t="s">
        <v>673</v>
      </c>
      <c r="U1112">
        <v>0.20262082000000001</v>
      </c>
      <c r="V1112" t="s">
        <v>152</v>
      </c>
      <c r="W1112">
        <v>8.0616289999999993E-2</v>
      </c>
    </row>
    <row r="1113" spans="1:23" x14ac:dyDescent="0.25">
      <c r="A1113" s="3" t="str">
        <f>HYPERLINK("http://ids.si.edu/ids/deliveryService?id=NMAH-AHB2013q072715","NMAH-AHB2013q072715")</f>
        <v>NMAH-AHB2013q072715</v>
      </c>
      <c r="B1113" s="3" t="s">
        <v>2645</v>
      </c>
      <c r="C1113" s="3">
        <v>715343</v>
      </c>
      <c r="D1113" s="3" t="s">
        <v>1167</v>
      </c>
      <c r="E1113" s="4" t="s">
        <v>1332</v>
      </c>
      <c r="F1113" t="s">
        <v>256</v>
      </c>
      <c r="G1113">
        <v>0.84155488014221191</v>
      </c>
      <c r="H1113" t="s">
        <v>147</v>
      </c>
      <c r="I1113">
        <v>0.74124759435653687</v>
      </c>
      <c r="J1113" t="s">
        <v>2646</v>
      </c>
      <c r="K1113" s="4">
        <v>0.65240132808685303</v>
      </c>
      <c r="L1113" t="s">
        <v>113</v>
      </c>
      <c r="M1113">
        <v>0.12641646000000001</v>
      </c>
      <c r="N1113" t="s">
        <v>185</v>
      </c>
      <c r="O1113">
        <v>8.7470809999999996E-2</v>
      </c>
      <c r="P1113" t="s">
        <v>184</v>
      </c>
      <c r="Q1113" s="4">
        <v>8.5344699999999996E-2</v>
      </c>
      <c r="R1113" t="s">
        <v>151</v>
      </c>
      <c r="S1113">
        <v>0.22128709999999999</v>
      </c>
      <c r="T1113" t="s">
        <v>93</v>
      </c>
      <c r="U1113">
        <v>0.115720294</v>
      </c>
      <c r="V1113" t="s">
        <v>113</v>
      </c>
      <c r="W1113">
        <v>4.1603524000000003E-2</v>
      </c>
    </row>
    <row r="1114" spans="1:23" x14ac:dyDescent="0.25">
      <c r="A1114" s="3" t="str">
        <f>HYPERLINK("http://ids.si.edu/ids/deliveryService?id=NMAH-AHB2012q69705-000001","NMAH-AHB2012q69705-000001")</f>
        <v>NMAH-AHB2012q69705-000001</v>
      </c>
      <c r="B1114" s="3" t="s">
        <v>2647</v>
      </c>
      <c r="C1114" s="3">
        <v>718772</v>
      </c>
      <c r="D1114" s="3" t="s">
        <v>1167</v>
      </c>
      <c r="E1114" s="4" t="s">
        <v>1173</v>
      </c>
      <c r="F1114" t="s">
        <v>61</v>
      </c>
      <c r="G1114">
        <v>0.89724308252334595</v>
      </c>
      <c r="H1114" t="s">
        <v>196</v>
      </c>
      <c r="I1114">
        <v>0.8822672963142395</v>
      </c>
      <c r="J1114" t="s">
        <v>132</v>
      </c>
      <c r="K1114" s="4">
        <v>0.83633017539978027</v>
      </c>
      <c r="L1114" t="s">
        <v>66</v>
      </c>
      <c r="M1114">
        <v>0.68174030000000008</v>
      </c>
      <c r="N1114" t="s">
        <v>1260</v>
      </c>
      <c r="O1114">
        <v>9.2444159999999997E-2</v>
      </c>
      <c r="P1114" t="s">
        <v>1406</v>
      </c>
      <c r="Q1114" s="4">
        <v>9.1619220000000001E-2</v>
      </c>
      <c r="R1114" t="s">
        <v>66</v>
      </c>
      <c r="S1114">
        <v>0.49205429999999989</v>
      </c>
      <c r="T1114" t="s">
        <v>134</v>
      </c>
      <c r="U1114">
        <v>0.20699128999999999</v>
      </c>
      <c r="V1114" t="s">
        <v>44</v>
      </c>
      <c r="W1114">
        <v>3.5492990000000002E-2</v>
      </c>
    </row>
    <row r="1115" spans="1:23" x14ac:dyDescent="0.25">
      <c r="A1115" s="3" t="str">
        <f>HYPERLINK("http://ids.si.edu/ids/deliveryService?id=NMAH-AHB2017q125905","NMAH-AHB2017q125905")</f>
        <v>NMAH-AHB2017q125905</v>
      </c>
      <c r="B1115" s="3" t="s">
        <v>2648</v>
      </c>
      <c r="C1115" s="3">
        <v>2627</v>
      </c>
      <c r="D1115" s="3" t="s">
        <v>1167</v>
      </c>
      <c r="E1115" s="4" t="s">
        <v>150</v>
      </c>
      <c r="F1115" t="s">
        <v>50</v>
      </c>
      <c r="G1115">
        <v>0.87365710735321045</v>
      </c>
      <c r="H1115" t="s">
        <v>49</v>
      </c>
      <c r="I1115">
        <v>0.85491377115249634</v>
      </c>
      <c r="J1115" t="s">
        <v>595</v>
      </c>
      <c r="K1115" s="4">
        <v>0.75722092390060425</v>
      </c>
      <c r="L1115" t="s">
        <v>150</v>
      </c>
      <c r="M1115">
        <v>0.72129639999999995</v>
      </c>
      <c r="N1115" t="s">
        <v>598</v>
      </c>
      <c r="O1115">
        <v>8.6543225000000001E-2</v>
      </c>
      <c r="P1115" t="s">
        <v>597</v>
      </c>
      <c r="Q1115" s="4">
        <v>5.2430987000000012E-2</v>
      </c>
      <c r="R1115" t="s">
        <v>150</v>
      </c>
      <c r="S1115">
        <v>0.21260102</v>
      </c>
      <c r="T1115" t="s">
        <v>35</v>
      </c>
      <c r="U1115">
        <v>0.1318194</v>
      </c>
      <c r="V1115" t="s">
        <v>313</v>
      </c>
      <c r="W1115">
        <v>6.4317089999999993E-2</v>
      </c>
    </row>
    <row r="1116" spans="1:23" x14ac:dyDescent="0.25">
      <c r="A1116" s="3" t="str">
        <f>HYPERLINK("http://ids.si.edu/ids/deliveryService?id=NMAH-AHB2013q072841","NMAH-AHB2013q072841")</f>
        <v>NMAH-AHB2013q072841</v>
      </c>
      <c r="B1116" s="3" t="s">
        <v>2649</v>
      </c>
      <c r="C1116" s="3">
        <v>716301</v>
      </c>
      <c r="D1116" s="3" t="s">
        <v>1167</v>
      </c>
      <c r="E1116" s="4" t="s">
        <v>1332</v>
      </c>
      <c r="F1116" t="s">
        <v>147</v>
      </c>
      <c r="G1116">
        <v>0.65302252769470215</v>
      </c>
      <c r="H1116" t="s">
        <v>38</v>
      </c>
      <c r="I1116">
        <v>0.55728942155838013</v>
      </c>
      <c r="L1116" t="s">
        <v>149</v>
      </c>
      <c r="M1116">
        <v>0.28717959999999998</v>
      </c>
      <c r="N1116" t="s">
        <v>95</v>
      </c>
      <c r="O1116">
        <v>0.12013032999999999</v>
      </c>
      <c r="P1116" t="s">
        <v>113</v>
      </c>
      <c r="Q1116" s="4">
        <v>9.4155594999999995E-2</v>
      </c>
      <c r="R1116" t="s">
        <v>93</v>
      </c>
      <c r="S1116">
        <v>0.15435635</v>
      </c>
      <c r="T1116" t="s">
        <v>151</v>
      </c>
      <c r="U1116">
        <v>0.13163383000000001</v>
      </c>
      <c r="V1116" t="s">
        <v>312</v>
      </c>
      <c r="W1116">
        <v>5.5809878E-2</v>
      </c>
    </row>
    <row r="1117" spans="1:23" x14ac:dyDescent="0.25">
      <c r="A1117" s="3" t="str">
        <f>HYPERLINK("http://ids.si.edu/ids/deliveryService?id=NMAH-AHB2017q062307","NMAH-AHB2017q062307")</f>
        <v>NMAH-AHB2017q062307</v>
      </c>
      <c r="B1117" s="3" t="s">
        <v>2650</v>
      </c>
      <c r="C1117" s="3">
        <v>2446</v>
      </c>
      <c r="D1117" s="3" t="s">
        <v>1167</v>
      </c>
      <c r="E1117" s="4" t="s">
        <v>1178</v>
      </c>
      <c r="F1117" t="s">
        <v>837</v>
      </c>
      <c r="G1117">
        <v>0.73805409669876099</v>
      </c>
      <c r="H1117" t="s">
        <v>809</v>
      </c>
      <c r="I1117">
        <v>0.6122170090675354</v>
      </c>
      <c r="J1117" t="s">
        <v>2651</v>
      </c>
      <c r="K1117" s="4">
        <v>0.60498762130737305</v>
      </c>
      <c r="L1117" t="s">
        <v>113</v>
      </c>
      <c r="M1117">
        <v>0.87118700000000004</v>
      </c>
      <c r="N1117" t="s">
        <v>365</v>
      </c>
      <c r="O1117">
        <v>2.7178481000000001E-2</v>
      </c>
      <c r="P1117" t="s">
        <v>149</v>
      </c>
      <c r="Q1117" s="4">
        <v>1.337882E-2</v>
      </c>
      <c r="R1117" t="s">
        <v>113</v>
      </c>
      <c r="S1117">
        <v>0.54527399999999993</v>
      </c>
      <c r="T1117" t="s">
        <v>365</v>
      </c>
      <c r="U1117">
        <v>0.123445004</v>
      </c>
      <c r="V1117" t="s">
        <v>586</v>
      </c>
      <c r="W1117">
        <v>3.9487015E-2</v>
      </c>
    </row>
    <row r="1118" spans="1:23" x14ac:dyDescent="0.25">
      <c r="A1118" s="3" t="str">
        <f>HYPERLINK("http://ids.si.edu/ids/deliveryService?id=NMAH-AHB2017q052817","NMAH-AHB2017q052817")</f>
        <v>NMAH-AHB2017q052817</v>
      </c>
      <c r="B1118" s="3" t="s">
        <v>2652</v>
      </c>
      <c r="C1118" s="3">
        <v>745674</v>
      </c>
      <c r="D1118" s="3" t="s">
        <v>1167</v>
      </c>
      <c r="E1118" s="4" t="s">
        <v>1364</v>
      </c>
      <c r="F1118" t="s">
        <v>49</v>
      </c>
      <c r="G1118">
        <v>0.79617029428482056</v>
      </c>
      <c r="H1118" t="s">
        <v>50</v>
      </c>
      <c r="I1118">
        <v>0.76671713590621948</v>
      </c>
      <c r="J1118" t="s">
        <v>636</v>
      </c>
      <c r="K1118" s="4">
        <v>0.65180397033691406</v>
      </c>
      <c r="L1118" t="s">
        <v>1184</v>
      </c>
      <c r="M1118">
        <v>0.50133000000000005</v>
      </c>
      <c r="N1118" t="s">
        <v>261</v>
      </c>
      <c r="O1118">
        <v>0.49138074999999998</v>
      </c>
      <c r="P1118" t="s">
        <v>31</v>
      </c>
      <c r="Q1118" s="4">
        <v>2.9753000000000002E-3</v>
      </c>
      <c r="R1118" t="s">
        <v>261</v>
      </c>
      <c r="S1118">
        <v>0.90480460000000007</v>
      </c>
      <c r="T1118" t="s">
        <v>1184</v>
      </c>
      <c r="U1118">
        <v>9.1299175999999996E-2</v>
      </c>
      <c r="V1118" t="s">
        <v>258</v>
      </c>
      <c r="W1118">
        <v>6.0592060000000001E-4</v>
      </c>
    </row>
    <row r="1119" spans="1:23" x14ac:dyDescent="0.25">
      <c r="A1119" s="3" t="str">
        <f>HYPERLINK("http://ids.si.edu/ids/deliveryService?id=NMAH-AHB2017q060798","NMAH-AHB2017q060798")</f>
        <v>NMAH-AHB2017q060798</v>
      </c>
      <c r="B1119" s="3" t="s">
        <v>2653</v>
      </c>
      <c r="C1119" s="3">
        <v>1316775</v>
      </c>
      <c r="D1119" s="3" t="s">
        <v>1167</v>
      </c>
      <c r="E1119" s="4" t="s">
        <v>2654</v>
      </c>
      <c r="F1119" t="s">
        <v>1357</v>
      </c>
      <c r="G1119">
        <v>0.94018203020095825</v>
      </c>
      <c r="H1119" t="s">
        <v>1127</v>
      </c>
      <c r="I1119">
        <v>0.88988018035888672</v>
      </c>
      <c r="J1119" t="s">
        <v>886</v>
      </c>
      <c r="K1119" s="4">
        <v>0.88757920265197754</v>
      </c>
      <c r="L1119" t="s">
        <v>66</v>
      </c>
      <c r="M1119">
        <v>0.74922109999999997</v>
      </c>
      <c r="N1119" t="s">
        <v>209</v>
      </c>
      <c r="O1119">
        <v>4.9611836999999999E-2</v>
      </c>
      <c r="P1119" t="s">
        <v>678</v>
      </c>
      <c r="Q1119" s="4">
        <v>1.7633438000000001E-2</v>
      </c>
      <c r="R1119" t="s">
        <v>66</v>
      </c>
      <c r="S1119">
        <v>0.38981733000000002</v>
      </c>
      <c r="T1119" t="s">
        <v>42</v>
      </c>
      <c r="U1119">
        <v>0.12385929</v>
      </c>
      <c r="V1119" t="s">
        <v>312</v>
      </c>
      <c r="W1119">
        <v>6.9692309999999993E-2</v>
      </c>
    </row>
    <row r="1120" spans="1:23" x14ac:dyDescent="0.25">
      <c r="A1120" s="3" t="str">
        <f>HYPERLINK("http://ids.si.edu/ids/deliveryService?id=NMAH-AHB2012q65464","NMAH-AHB2012q65464")</f>
        <v>NMAH-AHB2012q65464</v>
      </c>
      <c r="B1120" s="3" t="s">
        <v>2655</v>
      </c>
      <c r="C1120" s="3">
        <v>737823</v>
      </c>
      <c r="D1120" s="3" t="s">
        <v>1167</v>
      </c>
      <c r="E1120" s="4" t="s">
        <v>1173</v>
      </c>
      <c r="F1120" t="s">
        <v>603</v>
      </c>
      <c r="G1120">
        <v>0.91949689388275146</v>
      </c>
      <c r="H1120" t="s">
        <v>61</v>
      </c>
      <c r="I1120">
        <v>0.91897565126419067</v>
      </c>
      <c r="J1120" t="s">
        <v>112</v>
      </c>
      <c r="K1120" s="4">
        <v>0.68572378158569336</v>
      </c>
      <c r="L1120" t="s">
        <v>151</v>
      </c>
      <c r="M1120">
        <v>0.30683263999999999</v>
      </c>
      <c r="N1120" t="s">
        <v>66</v>
      </c>
      <c r="O1120">
        <v>7.0660873999999999E-2</v>
      </c>
      <c r="P1120" t="s">
        <v>601</v>
      </c>
      <c r="Q1120" s="4">
        <v>5.1871199999999999E-2</v>
      </c>
      <c r="R1120" t="s">
        <v>151</v>
      </c>
      <c r="S1120">
        <v>0.65705924999999998</v>
      </c>
      <c r="T1120" t="s">
        <v>601</v>
      </c>
      <c r="U1120">
        <v>6.0909588000000001E-2</v>
      </c>
      <c r="V1120" t="s">
        <v>150</v>
      </c>
      <c r="W1120">
        <v>2.9809715000000001E-2</v>
      </c>
    </row>
    <row r="1121" spans="1:23" x14ac:dyDescent="0.25">
      <c r="A1121" s="3" t="str">
        <f>HYPERLINK("http://ids.si.edu/ids/deliveryService?id=NMAH-2007-13913","NMAH-2007-13913")</f>
        <v>NMAH-2007-13913</v>
      </c>
      <c r="B1121" s="3" t="s">
        <v>2656</v>
      </c>
      <c r="C1121" s="3">
        <v>736008</v>
      </c>
      <c r="D1121" s="3" t="s">
        <v>1167</v>
      </c>
      <c r="E1121" s="4" t="s">
        <v>2657</v>
      </c>
      <c r="F1121" t="s">
        <v>832</v>
      </c>
      <c r="G1121">
        <v>0.97298687696456909</v>
      </c>
      <c r="H1121" t="s">
        <v>921</v>
      </c>
      <c r="I1121">
        <v>0.91316735744476318</v>
      </c>
      <c r="J1121" t="s">
        <v>837</v>
      </c>
      <c r="K1121" s="4">
        <v>0.88811761140823364</v>
      </c>
      <c r="L1121" t="s">
        <v>853</v>
      </c>
      <c r="M1121">
        <v>0.22253896000000001</v>
      </c>
      <c r="N1121" t="s">
        <v>30</v>
      </c>
      <c r="O1121">
        <v>0.15798369000000001</v>
      </c>
      <c r="P1121" t="s">
        <v>312</v>
      </c>
      <c r="Q1121" s="4">
        <v>0.12505157</v>
      </c>
      <c r="R1121" t="s">
        <v>857</v>
      </c>
      <c r="S1121">
        <v>0.53439784000000001</v>
      </c>
      <c r="T1121" t="s">
        <v>30</v>
      </c>
      <c r="U1121">
        <v>0.22858211000000001</v>
      </c>
      <c r="V1121" t="s">
        <v>853</v>
      </c>
      <c r="W1121">
        <v>9.8800319999999997E-2</v>
      </c>
    </row>
    <row r="1122" spans="1:23" x14ac:dyDescent="0.25">
      <c r="A1122" s="3" t="str">
        <f>HYPERLINK("http://ids.si.edu/ids/deliveryService?id=NMAH-AHB2013q069799","NMAH-AHB2013q069799")</f>
        <v>NMAH-AHB2013q069799</v>
      </c>
      <c r="B1122" s="3" t="s">
        <v>2658</v>
      </c>
      <c r="C1122" s="3">
        <v>716696</v>
      </c>
      <c r="D1122" s="3" t="s">
        <v>1167</v>
      </c>
      <c r="E1122" s="4" t="s">
        <v>2600</v>
      </c>
      <c r="F1122" t="s">
        <v>91</v>
      </c>
      <c r="G1122">
        <v>0.88283330202102661</v>
      </c>
      <c r="H1122" t="s">
        <v>1280</v>
      </c>
      <c r="I1122">
        <v>0.61691868305206299</v>
      </c>
      <c r="J1122" t="s">
        <v>1187</v>
      </c>
      <c r="K1122" s="4">
        <v>0.61203712224960327</v>
      </c>
      <c r="L1122" t="s">
        <v>461</v>
      </c>
      <c r="M1122">
        <v>0.81436070000000005</v>
      </c>
      <c r="N1122" t="s">
        <v>1042</v>
      </c>
      <c r="O1122">
        <v>7.5792789999999999E-2</v>
      </c>
      <c r="P1122" t="s">
        <v>478</v>
      </c>
      <c r="Q1122" s="4">
        <v>4.1049719999999998E-2</v>
      </c>
      <c r="R1122" t="s">
        <v>239</v>
      </c>
      <c r="S1122">
        <v>0.21128237</v>
      </c>
      <c r="T1122" t="s">
        <v>151</v>
      </c>
      <c r="U1122">
        <v>0.18354272999999999</v>
      </c>
      <c r="V1122" t="s">
        <v>363</v>
      </c>
      <c r="W1122">
        <v>0.17506304</v>
      </c>
    </row>
    <row r="1123" spans="1:23" x14ac:dyDescent="0.25">
      <c r="A1123" s="3" t="str">
        <f>HYPERLINK("http://ids.si.edu/ids/deliveryService?id=NMAH-AHB2013q069826","NMAH-AHB2013q069826")</f>
        <v>NMAH-AHB2013q069826</v>
      </c>
      <c r="B1123" s="3" t="s">
        <v>2659</v>
      </c>
      <c r="C1123" s="3">
        <v>716795</v>
      </c>
      <c r="D1123" s="3" t="s">
        <v>1167</v>
      </c>
      <c r="E1123" s="4" t="s">
        <v>2660</v>
      </c>
      <c r="F1123" t="s">
        <v>271</v>
      </c>
      <c r="G1123">
        <v>0.95006668567657471</v>
      </c>
      <c r="H1123" t="s">
        <v>91</v>
      </c>
      <c r="I1123">
        <v>0.94139593839645386</v>
      </c>
      <c r="J1123" t="s">
        <v>892</v>
      </c>
      <c r="K1123" s="4">
        <v>0.88248699903488159</v>
      </c>
      <c r="L1123" t="s">
        <v>151</v>
      </c>
      <c r="M1123">
        <v>9.3440889999999999E-2</v>
      </c>
      <c r="N1123" t="s">
        <v>239</v>
      </c>
      <c r="O1123">
        <v>7.5335020000000003E-2</v>
      </c>
      <c r="P1123" t="s">
        <v>149</v>
      </c>
      <c r="Q1123" s="4">
        <v>6.9561324999999993E-2</v>
      </c>
      <c r="R1123" t="s">
        <v>151</v>
      </c>
      <c r="S1123">
        <v>0.13699849</v>
      </c>
      <c r="T1123" t="s">
        <v>93</v>
      </c>
      <c r="U1123">
        <v>9.9891715000000006E-2</v>
      </c>
      <c r="V1123" t="s">
        <v>95</v>
      </c>
      <c r="W1123">
        <v>6.5297949999999993E-2</v>
      </c>
    </row>
    <row r="1124" spans="1:23" x14ac:dyDescent="0.25">
      <c r="A1124" s="3" t="str">
        <f>HYPERLINK("http://ids.si.edu/ids/deliveryService?id=NMAH-AHB2012q63821","NMAH-AHB2012q63821")</f>
        <v>NMAH-AHB2012q63821</v>
      </c>
      <c r="B1124" s="3" t="s">
        <v>2661</v>
      </c>
      <c r="C1124" s="3">
        <v>716513</v>
      </c>
      <c r="D1124" s="3" t="s">
        <v>1167</v>
      </c>
      <c r="E1124" s="4" t="s">
        <v>1173</v>
      </c>
      <c r="F1124" t="s">
        <v>91</v>
      </c>
      <c r="G1124">
        <v>0.88283330202102661</v>
      </c>
      <c r="H1124" t="s">
        <v>49</v>
      </c>
      <c r="I1124">
        <v>0.70087450742721558</v>
      </c>
      <c r="J1124" t="s">
        <v>1174</v>
      </c>
      <c r="K1124" s="4">
        <v>0.68254715204238892</v>
      </c>
      <c r="L1124" t="s">
        <v>365</v>
      </c>
      <c r="M1124">
        <v>0.38841920000000002</v>
      </c>
      <c r="N1124" t="s">
        <v>95</v>
      </c>
      <c r="O1124">
        <v>0.36572706999999999</v>
      </c>
      <c r="P1124" t="s">
        <v>364</v>
      </c>
      <c r="Q1124" s="4">
        <v>3.5728245999999998E-2</v>
      </c>
      <c r="R1124" t="s">
        <v>363</v>
      </c>
      <c r="S1124">
        <v>0.27170317999999999</v>
      </c>
      <c r="T1124" t="s">
        <v>312</v>
      </c>
      <c r="U1124">
        <v>0.13600092999999999</v>
      </c>
      <c r="V1124" t="s">
        <v>95</v>
      </c>
      <c r="W1124">
        <v>8.3588525999999996E-2</v>
      </c>
    </row>
    <row r="1125" spans="1:23" x14ac:dyDescent="0.25">
      <c r="A1125" s="3" t="str">
        <f>HYPERLINK("http://ids.si.edu/ids/deliveryService?id=NMAH-AHB2013q070772","NMAH-AHB2013q070772")</f>
        <v>NMAH-AHB2013q070772</v>
      </c>
      <c r="B1125" s="3" t="s">
        <v>2662</v>
      </c>
      <c r="C1125" s="3">
        <v>874831</v>
      </c>
      <c r="D1125" s="3" t="s">
        <v>1167</v>
      </c>
      <c r="E1125" s="4" t="s">
        <v>2663</v>
      </c>
      <c r="F1125" t="s">
        <v>91</v>
      </c>
      <c r="G1125">
        <v>0.88283330202102661</v>
      </c>
      <c r="H1125" t="s">
        <v>1280</v>
      </c>
      <c r="I1125">
        <v>0.88275265693664551</v>
      </c>
      <c r="J1125" t="s">
        <v>1174</v>
      </c>
      <c r="K1125" s="4">
        <v>0.7000090479850769</v>
      </c>
      <c r="L1125" t="s">
        <v>363</v>
      </c>
      <c r="M1125">
        <v>0.40138247999999999</v>
      </c>
      <c r="N1125" t="s">
        <v>365</v>
      </c>
      <c r="O1125">
        <v>0.14548594000000001</v>
      </c>
      <c r="P1125" t="s">
        <v>312</v>
      </c>
      <c r="Q1125" s="4">
        <v>0.10095004</v>
      </c>
      <c r="R1125" t="s">
        <v>365</v>
      </c>
      <c r="S1125">
        <v>0.38654782999999998</v>
      </c>
      <c r="T1125" t="s">
        <v>363</v>
      </c>
      <c r="U1125">
        <v>0.34518555000000001</v>
      </c>
      <c r="V1125" t="s">
        <v>151</v>
      </c>
      <c r="W1125">
        <v>7.0501480000000005E-2</v>
      </c>
    </row>
    <row r="1126" spans="1:23" x14ac:dyDescent="0.25">
      <c r="A1126" s="3" t="str">
        <f>HYPERLINK("http://ids.si.edu/ids/deliveryService?id=NMAH-AHB2017q051798","NMAH-AHB2017q051798")</f>
        <v>NMAH-AHB2017q051798</v>
      </c>
      <c r="B1126" s="3" t="s">
        <v>2664</v>
      </c>
      <c r="C1126" s="3">
        <v>748173</v>
      </c>
      <c r="D1126" s="3" t="s">
        <v>1167</v>
      </c>
      <c r="E1126" s="4" t="s">
        <v>2665</v>
      </c>
      <c r="F1126" t="s">
        <v>49</v>
      </c>
      <c r="G1126">
        <v>0.78990232944488525</v>
      </c>
      <c r="H1126" t="s">
        <v>2302</v>
      </c>
      <c r="I1126">
        <v>0.67380303144454956</v>
      </c>
      <c r="J1126" t="s">
        <v>50</v>
      </c>
      <c r="K1126" s="4">
        <v>0.6591346263885498</v>
      </c>
      <c r="L1126" t="s">
        <v>369</v>
      </c>
      <c r="M1126">
        <v>0.92828107000000004</v>
      </c>
      <c r="N1126" t="s">
        <v>183</v>
      </c>
      <c r="O1126">
        <v>4.175152E-2</v>
      </c>
      <c r="P1126" t="s">
        <v>261</v>
      </c>
      <c r="Q1126" s="4">
        <v>1.2665513999999999E-2</v>
      </c>
      <c r="R1126" t="s">
        <v>175</v>
      </c>
      <c r="S1126">
        <v>7.6183849999999997E-2</v>
      </c>
      <c r="T1126" t="s">
        <v>706</v>
      </c>
      <c r="U1126">
        <v>6.6714025999999996E-2</v>
      </c>
      <c r="V1126" t="s">
        <v>261</v>
      </c>
      <c r="W1126">
        <v>5.9592072000000003E-2</v>
      </c>
    </row>
    <row r="1127" spans="1:23" x14ac:dyDescent="0.25">
      <c r="A1127" s="3" t="str">
        <f>HYPERLINK("http://ids.si.edu/ids/deliveryService?id=NMAH-AHB2012q69518-000001","NMAH-AHB2012q69518-000001")</f>
        <v>NMAH-AHB2012q69518-000001</v>
      </c>
      <c r="B1127" s="3" t="s">
        <v>2666</v>
      </c>
      <c r="C1127" s="3">
        <v>720046</v>
      </c>
      <c r="D1127" s="3" t="s">
        <v>1167</v>
      </c>
      <c r="E1127" s="4" t="s">
        <v>1173</v>
      </c>
      <c r="F1127" t="s">
        <v>61</v>
      </c>
      <c r="G1127">
        <v>0.90795594453811646</v>
      </c>
      <c r="H1127" t="s">
        <v>112</v>
      </c>
      <c r="I1127">
        <v>0.68572378158569336</v>
      </c>
      <c r="L1127" t="s">
        <v>312</v>
      </c>
      <c r="M1127">
        <v>0.24311629000000001</v>
      </c>
      <c r="N1127" t="s">
        <v>338</v>
      </c>
      <c r="O1127">
        <v>0.16745636</v>
      </c>
      <c r="P1127" t="s">
        <v>365</v>
      </c>
      <c r="Q1127" s="4">
        <v>9.5268644E-2</v>
      </c>
      <c r="R1127" t="s">
        <v>134</v>
      </c>
      <c r="S1127">
        <v>0.20707956999999999</v>
      </c>
      <c r="T1127" t="s">
        <v>66</v>
      </c>
      <c r="U1127">
        <v>8.4319584000000003E-2</v>
      </c>
      <c r="V1127" t="s">
        <v>363</v>
      </c>
      <c r="W1127">
        <v>3.9700131999999999E-2</v>
      </c>
    </row>
    <row r="1128" spans="1:23" x14ac:dyDescent="0.25">
      <c r="A1128" s="3" t="str">
        <f>HYPERLINK("http://ids.si.edu/ids/deliveryService?id=NMAH-AHB2007q11631","NMAH-AHB2007q11631")</f>
        <v>NMAH-AHB2007q11631</v>
      </c>
      <c r="B1128" s="3" t="s">
        <v>2667</v>
      </c>
      <c r="C1128" s="3">
        <v>1323223</v>
      </c>
      <c r="D1128" s="3" t="s">
        <v>1167</v>
      </c>
      <c r="E1128" s="4" t="s">
        <v>2533</v>
      </c>
      <c r="F1128" t="s">
        <v>61</v>
      </c>
      <c r="G1128">
        <v>0.89724308252334595</v>
      </c>
      <c r="H1128" t="s">
        <v>486</v>
      </c>
      <c r="I1128">
        <v>0.73529165983200073</v>
      </c>
      <c r="J1128" t="s">
        <v>112</v>
      </c>
      <c r="K1128" s="4">
        <v>0.68572378158569336</v>
      </c>
      <c r="L1128" t="s">
        <v>66</v>
      </c>
      <c r="M1128">
        <v>0.31029284000000001</v>
      </c>
      <c r="N1128" t="s">
        <v>65</v>
      </c>
      <c r="O1128">
        <v>0.19532895</v>
      </c>
      <c r="P1128" t="s">
        <v>29</v>
      </c>
      <c r="Q1128" s="4">
        <v>0.12355734</v>
      </c>
      <c r="R1128" t="s">
        <v>66</v>
      </c>
      <c r="S1128">
        <v>0.22255722</v>
      </c>
      <c r="T1128" t="s">
        <v>253</v>
      </c>
      <c r="U1128">
        <v>7.5431496000000001E-2</v>
      </c>
      <c r="V1128" t="s">
        <v>151</v>
      </c>
      <c r="W1128">
        <v>6.1183250000000002E-2</v>
      </c>
    </row>
    <row r="1129" spans="1:23" x14ac:dyDescent="0.25">
      <c r="A1129" s="3" t="str">
        <f>HYPERLINK("http://ids.si.edu/ids/deliveryService?id=NMAH-ET2012-12827","NMAH-ET2012-12827")</f>
        <v>NMAH-ET2012-12827</v>
      </c>
      <c r="B1129" s="3" t="s">
        <v>2668</v>
      </c>
      <c r="C1129" s="3">
        <v>1054296</v>
      </c>
      <c r="D1129" s="3" t="s">
        <v>1167</v>
      </c>
      <c r="E1129" s="4" t="s">
        <v>2669</v>
      </c>
      <c r="F1129" t="s">
        <v>2629</v>
      </c>
      <c r="G1129">
        <v>0.77610433101654053</v>
      </c>
      <c r="H1129" t="s">
        <v>281</v>
      </c>
      <c r="I1129">
        <v>0.74177259206771851</v>
      </c>
      <c r="J1129" t="s">
        <v>2670</v>
      </c>
      <c r="K1129" s="4">
        <v>0.63006591796875</v>
      </c>
      <c r="L1129" t="s">
        <v>330</v>
      </c>
      <c r="M1129">
        <v>0.38530403000000002</v>
      </c>
      <c r="N1129" t="s">
        <v>2303</v>
      </c>
      <c r="O1129">
        <v>8.0194470000000004E-2</v>
      </c>
      <c r="P1129" t="s">
        <v>79</v>
      </c>
      <c r="Q1129" s="4">
        <v>4.0655154999999998E-2</v>
      </c>
      <c r="R1129" t="s">
        <v>1426</v>
      </c>
      <c r="S1129">
        <v>0.10674799</v>
      </c>
      <c r="T1129" t="s">
        <v>330</v>
      </c>
      <c r="U1129">
        <v>9.5770170000000002E-2</v>
      </c>
      <c r="V1129" t="s">
        <v>84</v>
      </c>
      <c r="W1129">
        <v>9.1375040000000005E-2</v>
      </c>
    </row>
    <row r="1130" spans="1:23" x14ac:dyDescent="0.25">
      <c r="A1130" s="3" t="str">
        <f>HYPERLINK("http://ids.si.edu/ids/deliveryService?id=NMAH-AHB2017q017626","NMAH-AHB2017q017626")</f>
        <v>NMAH-AHB2017q017626</v>
      </c>
      <c r="B1130" s="3" t="s">
        <v>2671</v>
      </c>
      <c r="C1130" s="3">
        <v>743644</v>
      </c>
      <c r="D1130" s="3" t="s">
        <v>1167</v>
      </c>
      <c r="E1130" s="4" t="s">
        <v>2672</v>
      </c>
      <c r="F1130" t="s">
        <v>1738</v>
      </c>
      <c r="G1130">
        <v>0.89295816421508789</v>
      </c>
      <c r="H1130" t="s">
        <v>441</v>
      </c>
      <c r="I1130">
        <v>0.86304771900177002</v>
      </c>
      <c r="J1130" t="s">
        <v>615</v>
      </c>
      <c r="K1130" s="4">
        <v>0.85540199279785156</v>
      </c>
      <c r="L1130" t="s">
        <v>330</v>
      </c>
      <c r="M1130">
        <v>0.10209861000000001</v>
      </c>
      <c r="N1130" t="s">
        <v>460</v>
      </c>
      <c r="O1130">
        <v>9.0980279999999997E-2</v>
      </c>
      <c r="P1130" t="s">
        <v>1427</v>
      </c>
      <c r="Q1130" s="4">
        <v>8.123329E-2</v>
      </c>
      <c r="R1130" t="s">
        <v>338</v>
      </c>
      <c r="S1130">
        <v>0.39414116999999999</v>
      </c>
      <c r="T1130" t="s">
        <v>601</v>
      </c>
      <c r="U1130">
        <v>0.26095800000000002</v>
      </c>
      <c r="V1130" t="s">
        <v>149</v>
      </c>
      <c r="W1130">
        <v>0.10311167</v>
      </c>
    </row>
    <row r="1131" spans="1:23" x14ac:dyDescent="0.25">
      <c r="A1131" s="3" t="str">
        <f>HYPERLINK("http://ids.si.edu/ids/deliveryService?id=NMAH-AHB2017q050643","NMAH-AHB2017q050643")</f>
        <v>NMAH-AHB2017q050643</v>
      </c>
      <c r="B1131" s="3" t="s">
        <v>2673</v>
      </c>
      <c r="C1131" s="3">
        <v>1184206</v>
      </c>
      <c r="D1131" s="3" t="s">
        <v>1167</v>
      </c>
      <c r="E1131" s="4" t="s">
        <v>2674</v>
      </c>
      <c r="F1131" t="s">
        <v>2675</v>
      </c>
      <c r="G1131">
        <v>0.54277276992797852</v>
      </c>
      <c r="L1131" t="s">
        <v>251</v>
      </c>
      <c r="M1131">
        <v>0.54876983000000001</v>
      </c>
      <c r="N1131" t="s">
        <v>502</v>
      </c>
      <c r="O1131">
        <v>6.8262264000000003E-2</v>
      </c>
      <c r="P1131" t="s">
        <v>436</v>
      </c>
      <c r="Q1131" s="4">
        <v>6.823949E-2</v>
      </c>
      <c r="R1131" t="s">
        <v>239</v>
      </c>
      <c r="S1131">
        <v>0.20141718</v>
      </c>
      <c r="T1131" t="s">
        <v>984</v>
      </c>
      <c r="U1131">
        <v>0.10804799</v>
      </c>
      <c r="V1131" t="s">
        <v>141</v>
      </c>
      <c r="W1131">
        <v>0.10529302</v>
      </c>
    </row>
    <row r="1132" spans="1:23" x14ac:dyDescent="0.25">
      <c r="A1132" s="3" t="str">
        <f>HYPERLINK("http://ids.si.edu/ids/deliveryService?id=NMAH-AHB2012q60037","NMAH-AHB2012q60037")</f>
        <v>NMAH-AHB2012q60037</v>
      </c>
      <c r="B1132" s="3" t="s">
        <v>2676</v>
      </c>
      <c r="C1132" s="3">
        <v>1298286</v>
      </c>
      <c r="D1132" s="3" t="s">
        <v>1167</v>
      </c>
      <c r="E1132" s="4" t="s">
        <v>1173</v>
      </c>
      <c r="F1132" t="s">
        <v>1174</v>
      </c>
      <c r="G1132">
        <v>0.96931415796279907</v>
      </c>
      <c r="H1132" t="s">
        <v>1280</v>
      </c>
      <c r="I1132">
        <v>0.95435070991516113</v>
      </c>
      <c r="J1132" t="s">
        <v>1188</v>
      </c>
      <c r="K1132" s="4">
        <v>0.92233788967132568</v>
      </c>
      <c r="L1132" t="s">
        <v>363</v>
      </c>
      <c r="M1132">
        <v>0.89800983999999995</v>
      </c>
      <c r="N1132" t="s">
        <v>312</v>
      </c>
      <c r="O1132">
        <v>5.3432133E-2</v>
      </c>
      <c r="P1132" t="s">
        <v>461</v>
      </c>
      <c r="Q1132" s="4">
        <v>1.1906923999999999E-2</v>
      </c>
      <c r="R1132" t="s">
        <v>312</v>
      </c>
      <c r="S1132">
        <v>0.38158634000000002</v>
      </c>
      <c r="T1132" t="s">
        <v>363</v>
      </c>
      <c r="U1132">
        <v>0.13019744999999999</v>
      </c>
      <c r="V1132" t="s">
        <v>923</v>
      </c>
      <c r="W1132">
        <v>8.5747320000000002E-2</v>
      </c>
    </row>
    <row r="1133" spans="1:23" x14ac:dyDescent="0.25">
      <c r="A1133" s="3" t="str">
        <f>HYPERLINK("http://ids.si.edu/ids/deliveryService?id=NMAH-AHB2012q78526-000001","NMAH-AHB2012q78526-000001")</f>
        <v>NMAH-AHB2012q78526-000001</v>
      </c>
      <c r="B1133" s="3" t="s">
        <v>2677</v>
      </c>
      <c r="C1133" s="3">
        <v>718773</v>
      </c>
      <c r="D1133" s="3" t="s">
        <v>1167</v>
      </c>
      <c r="E1133" s="4" t="s">
        <v>1173</v>
      </c>
      <c r="F1133" t="s">
        <v>2678</v>
      </c>
      <c r="G1133">
        <v>0.69939368963241577</v>
      </c>
      <c r="H1133" t="s">
        <v>196</v>
      </c>
      <c r="I1133">
        <v>0.58707290887832642</v>
      </c>
      <c r="L1133" t="s">
        <v>580</v>
      </c>
      <c r="M1133">
        <v>0.74570969999999992</v>
      </c>
      <c r="N1133" t="s">
        <v>749</v>
      </c>
      <c r="O1133">
        <v>8.4759009999999996E-2</v>
      </c>
      <c r="P1133" t="s">
        <v>571</v>
      </c>
      <c r="Q1133" s="4">
        <v>2.1257874E-2</v>
      </c>
      <c r="R1133" t="s">
        <v>813</v>
      </c>
      <c r="S1133">
        <v>0.13529478</v>
      </c>
      <c r="T1133" t="s">
        <v>586</v>
      </c>
      <c r="U1133">
        <v>6.9438990000000006E-2</v>
      </c>
      <c r="V1133" t="s">
        <v>749</v>
      </c>
      <c r="W1133">
        <v>6.5139420000000003E-2</v>
      </c>
    </row>
    <row r="1134" spans="1:23" x14ac:dyDescent="0.25">
      <c r="A1134" s="3" t="str">
        <f>HYPERLINK("http://ids.si.edu/ids/deliveryService?id=NMAH-AHB2017q059070","NMAH-AHB2017q059070")</f>
        <v>NMAH-AHB2017q059070</v>
      </c>
      <c r="B1134" s="3" t="s">
        <v>2679</v>
      </c>
      <c r="C1134" s="3">
        <v>1336290</v>
      </c>
      <c r="D1134" s="3" t="s">
        <v>1167</v>
      </c>
      <c r="E1134" s="4" t="s">
        <v>1443</v>
      </c>
      <c r="F1134" t="s">
        <v>1583</v>
      </c>
      <c r="G1134">
        <v>0.68038648366928101</v>
      </c>
      <c r="H1134" t="s">
        <v>188</v>
      </c>
      <c r="I1134">
        <v>0.65938717126846313</v>
      </c>
      <c r="J1134" t="s">
        <v>195</v>
      </c>
      <c r="K1134" s="4">
        <v>0.59654879570007324</v>
      </c>
      <c r="L1134" t="s">
        <v>813</v>
      </c>
      <c r="M1134">
        <v>0.22687057999999999</v>
      </c>
      <c r="N1134" t="s">
        <v>369</v>
      </c>
      <c r="O1134">
        <v>0.10691402999999999</v>
      </c>
      <c r="P1134" t="s">
        <v>571</v>
      </c>
      <c r="Q1134" s="4">
        <v>8.8825920000000003E-2</v>
      </c>
      <c r="R1134" t="s">
        <v>369</v>
      </c>
      <c r="S1134">
        <v>0.27561469999999999</v>
      </c>
      <c r="T1134" t="s">
        <v>813</v>
      </c>
      <c r="U1134">
        <v>0.18137761999999999</v>
      </c>
      <c r="V1134" t="s">
        <v>66</v>
      </c>
      <c r="W1134">
        <v>0.15465508</v>
      </c>
    </row>
    <row r="1135" spans="1:23" x14ac:dyDescent="0.25">
      <c r="A1135" s="3" t="str">
        <f>HYPERLINK("http://ids.si.edu/ids/deliveryService?id=NMAH-AHB2012q61763","NMAH-AHB2012q61763")</f>
        <v>NMAH-AHB2012q61763</v>
      </c>
      <c r="B1135" s="3" t="s">
        <v>2680</v>
      </c>
      <c r="C1135" s="3">
        <v>748650</v>
      </c>
      <c r="D1135" s="3" t="s">
        <v>1167</v>
      </c>
      <c r="E1135" s="4" t="s">
        <v>1173</v>
      </c>
      <c r="F1135" t="s">
        <v>1280</v>
      </c>
      <c r="G1135">
        <v>0.97820878028869629</v>
      </c>
      <c r="H1135" t="s">
        <v>1174</v>
      </c>
      <c r="I1135">
        <v>0.9710688591003418</v>
      </c>
      <c r="J1135" t="s">
        <v>91</v>
      </c>
      <c r="K1135" s="4">
        <v>0.91031128168106079</v>
      </c>
      <c r="L1135" t="s">
        <v>312</v>
      </c>
      <c r="M1135">
        <v>0.51883595999999998</v>
      </c>
      <c r="N1135" t="s">
        <v>95</v>
      </c>
      <c r="O1135">
        <v>0.32577752999999998</v>
      </c>
      <c r="P1135" t="s">
        <v>248</v>
      </c>
      <c r="Q1135" s="4">
        <v>2.6082254999999999E-2</v>
      </c>
      <c r="R1135" t="s">
        <v>312</v>
      </c>
      <c r="S1135">
        <v>0.34222757999999998</v>
      </c>
      <c r="T1135" t="s">
        <v>95</v>
      </c>
      <c r="U1135">
        <v>0.10088318</v>
      </c>
      <c r="V1135" t="s">
        <v>363</v>
      </c>
      <c r="W1135">
        <v>9.3691154999999998E-2</v>
      </c>
    </row>
    <row r="1136" spans="1:23" x14ac:dyDescent="0.25">
      <c r="A1136" s="3" t="str">
        <f>HYPERLINK("http://ids.si.edu/ids/deliveryService?id=NMAH-AHB2009q12051","NMAH-AHB2009q12051")</f>
        <v>NMAH-AHB2009q12051</v>
      </c>
      <c r="B1136" s="3" t="s">
        <v>2681</v>
      </c>
      <c r="C1136" s="3">
        <v>1348327</v>
      </c>
      <c r="D1136" s="3" t="s">
        <v>1167</v>
      </c>
      <c r="E1136" s="4" t="s">
        <v>2682</v>
      </c>
      <c r="F1136" t="s">
        <v>132</v>
      </c>
      <c r="G1136">
        <v>0.92758786678314209</v>
      </c>
      <c r="H1136" t="s">
        <v>1191</v>
      </c>
      <c r="I1136">
        <v>0.81767988204956055</v>
      </c>
      <c r="J1136" t="s">
        <v>800</v>
      </c>
      <c r="K1136" s="4">
        <v>0.68302708864212036</v>
      </c>
      <c r="L1136" t="s">
        <v>83</v>
      </c>
      <c r="M1136">
        <v>0.49320271999999998</v>
      </c>
      <c r="N1136" t="s">
        <v>330</v>
      </c>
      <c r="O1136">
        <v>0.12894607</v>
      </c>
      <c r="P1136" t="s">
        <v>84</v>
      </c>
      <c r="Q1136" s="4">
        <v>8.2772189999999995E-2</v>
      </c>
      <c r="R1136" t="s">
        <v>84</v>
      </c>
      <c r="S1136">
        <v>0.9134753000000001</v>
      </c>
      <c r="T1136" t="s">
        <v>502</v>
      </c>
      <c r="U1136">
        <v>3.4484815000000002E-2</v>
      </c>
      <c r="V1136" t="s">
        <v>879</v>
      </c>
      <c r="W1136">
        <v>2.0538127E-2</v>
      </c>
    </row>
    <row r="1137" spans="1:23" x14ac:dyDescent="0.25">
      <c r="A1137" s="3" t="str">
        <f>HYPERLINK("http://ids.si.edu/ids/deliveryService?id=NMAH-JN2013-1822","NMAH-JN2013-1822")</f>
        <v>NMAH-JN2013-1822</v>
      </c>
      <c r="B1137" s="3" t="s">
        <v>2683</v>
      </c>
      <c r="C1137" s="3">
        <v>717514</v>
      </c>
      <c r="D1137" s="3" t="s">
        <v>1167</v>
      </c>
      <c r="E1137" s="4" t="s">
        <v>2684</v>
      </c>
      <c r="F1137" t="s">
        <v>91</v>
      </c>
      <c r="G1137">
        <v>0.93479853868484497</v>
      </c>
      <c r="H1137" t="s">
        <v>1174</v>
      </c>
      <c r="I1137">
        <v>0.90490740537643433</v>
      </c>
      <c r="J1137" t="s">
        <v>1280</v>
      </c>
      <c r="K1137" s="4">
        <v>0.89353680610656738</v>
      </c>
      <c r="L1137" t="s">
        <v>363</v>
      </c>
      <c r="M1137">
        <v>0.94986623999999997</v>
      </c>
      <c r="N1137" t="s">
        <v>923</v>
      </c>
      <c r="O1137">
        <v>1.2156484E-2</v>
      </c>
      <c r="P1137" t="s">
        <v>82</v>
      </c>
      <c r="Q1137" s="4">
        <v>1.1985593500000001E-2</v>
      </c>
      <c r="R1137" t="s">
        <v>363</v>
      </c>
      <c r="S1137">
        <v>0.72329754000000002</v>
      </c>
      <c r="T1137" t="s">
        <v>312</v>
      </c>
      <c r="U1137">
        <v>8.9636460000000001E-2</v>
      </c>
      <c r="V1137" t="s">
        <v>113</v>
      </c>
      <c r="W1137">
        <v>7.4258530000000003E-2</v>
      </c>
    </row>
    <row r="1138" spans="1:23" x14ac:dyDescent="0.25">
      <c r="A1138" s="3" t="str">
        <f>HYPERLINK("http://ids.si.edu/ids/deliveryService?id=NMAH-AHB2017q055305","NMAH-AHB2017q055305")</f>
        <v>NMAH-AHB2017q055305</v>
      </c>
      <c r="B1138" s="3" t="s">
        <v>2685</v>
      </c>
      <c r="C1138" s="3">
        <v>1344968</v>
      </c>
      <c r="D1138" s="3" t="s">
        <v>1167</v>
      </c>
      <c r="E1138" s="4" t="s">
        <v>2686</v>
      </c>
      <c r="F1138" t="s">
        <v>486</v>
      </c>
      <c r="G1138">
        <v>0.56377756595611572</v>
      </c>
      <c r="L1138" t="s">
        <v>209</v>
      </c>
      <c r="M1138">
        <v>9.9318340000000005E-2</v>
      </c>
      <c r="N1138" t="s">
        <v>398</v>
      </c>
      <c r="O1138">
        <v>9.8748130000000003E-2</v>
      </c>
      <c r="P1138" t="s">
        <v>66</v>
      </c>
      <c r="Q1138" s="4">
        <v>7.9207725999999992E-2</v>
      </c>
      <c r="R1138" t="s">
        <v>260</v>
      </c>
      <c r="S1138">
        <v>0.19275406</v>
      </c>
      <c r="T1138" t="s">
        <v>66</v>
      </c>
      <c r="U1138">
        <v>0.17345840000000001</v>
      </c>
      <c r="V1138" t="s">
        <v>601</v>
      </c>
      <c r="W1138">
        <v>0.16064339999999999</v>
      </c>
    </row>
    <row r="1139" spans="1:23" x14ac:dyDescent="0.25">
      <c r="A1139" s="3" t="str">
        <f>HYPERLINK("http://ids.si.edu/ids/deliveryService?id=NMAH-AHB2017q061659","NMAH-AHB2017q061659")</f>
        <v>NMAH-AHB2017q061659</v>
      </c>
      <c r="B1139" s="3" t="s">
        <v>2687</v>
      </c>
      <c r="C1139" s="3">
        <v>1762174</v>
      </c>
      <c r="D1139" s="3" t="s">
        <v>1167</v>
      </c>
      <c r="E1139" s="4" t="s">
        <v>1203</v>
      </c>
      <c r="F1139" t="s">
        <v>1016</v>
      </c>
      <c r="G1139">
        <v>0.6991998553276062</v>
      </c>
      <c r="L1139" t="s">
        <v>82</v>
      </c>
      <c r="M1139">
        <v>0.48852265</v>
      </c>
      <c r="N1139" t="s">
        <v>84</v>
      </c>
      <c r="O1139">
        <v>0.21226923</v>
      </c>
      <c r="P1139" t="s">
        <v>83</v>
      </c>
      <c r="Q1139" s="4">
        <v>7.5905150000000005E-2</v>
      </c>
      <c r="R1139" t="s">
        <v>83</v>
      </c>
      <c r="S1139">
        <v>0.21006685</v>
      </c>
      <c r="T1139" t="s">
        <v>82</v>
      </c>
      <c r="U1139">
        <v>0.13036707</v>
      </c>
      <c r="V1139" t="s">
        <v>495</v>
      </c>
      <c r="W1139">
        <v>0.12941572000000001</v>
      </c>
    </row>
    <row r="1140" spans="1:23" x14ac:dyDescent="0.25">
      <c r="A1140" s="3" t="str">
        <f>HYPERLINK("http://ids.si.edu/ids/deliveryService?id=NMAH-AHB2017q048258","NMAH-AHB2017q048258")</f>
        <v>NMAH-AHB2017q048258</v>
      </c>
      <c r="B1140" s="3" t="s">
        <v>2688</v>
      </c>
      <c r="C1140" s="3">
        <v>1823029</v>
      </c>
      <c r="D1140" s="3" t="s">
        <v>1167</v>
      </c>
      <c r="E1140" s="4" t="s">
        <v>2689</v>
      </c>
      <c r="F1140" t="s">
        <v>525</v>
      </c>
      <c r="G1140">
        <v>0.84208792448043823</v>
      </c>
      <c r="H1140" t="s">
        <v>2690</v>
      </c>
      <c r="I1140">
        <v>0.71304452419281006</v>
      </c>
      <c r="J1140" t="s">
        <v>62</v>
      </c>
      <c r="K1140" s="4">
        <v>0.69465303421020508</v>
      </c>
      <c r="L1140" t="s">
        <v>67</v>
      </c>
      <c r="M1140">
        <v>0.16368847</v>
      </c>
      <c r="N1140" t="s">
        <v>1349</v>
      </c>
      <c r="O1140">
        <v>0.15005665000000001</v>
      </c>
      <c r="P1140" t="s">
        <v>563</v>
      </c>
      <c r="Q1140" s="4">
        <v>0.13167918000000001</v>
      </c>
      <c r="R1140" t="s">
        <v>67</v>
      </c>
      <c r="S1140">
        <v>0.11465378</v>
      </c>
      <c r="T1140" t="s">
        <v>1349</v>
      </c>
      <c r="U1140">
        <v>0.10600197</v>
      </c>
      <c r="V1140" t="s">
        <v>144</v>
      </c>
      <c r="W1140">
        <v>0.10543400999999999</v>
      </c>
    </row>
    <row r="1141" spans="1:23" x14ac:dyDescent="0.25">
      <c r="A1141" s="3" t="str">
        <f>HYPERLINK("http://ids.si.edu/ids/deliveryService?id=NMAH-AHB2012q62933","NMAH-AHB2012q62933")</f>
        <v>NMAH-AHB2012q62933</v>
      </c>
      <c r="B1141" s="3" t="s">
        <v>2691</v>
      </c>
      <c r="C1141" s="3">
        <v>210027</v>
      </c>
      <c r="D1141" s="3" t="s">
        <v>1167</v>
      </c>
      <c r="E1141" s="4" t="s">
        <v>1173</v>
      </c>
      <c r="F1141" t="s">
        <v>1150</v>
      </c>
      <c r="G1141">
        <v>0.69260519742965698</v>
      </c>
      <c r="H1141" t="s">
        <v>50</v>
      </c>
      <c r="I1141">
        <v>0.5114516019821167</v>
      </c>
      <c r="L1141" t="s">
        <v>184</v>
      </c>
      <c r="M1141">
        <v>0.1355528</v>
      </c>
      <c r="N1141" t="s">
        <v>1454</v>
      </c>
      <c r="O1141">
        <v>8.1557505000000002E-2</v>
      </c>
      <c r="P1141" t="s">
        <v>35</v>
      </c>
      <c r="Q1141" s="4">
        <v>5.5070849999999998E-2</v>
      </c>
      <c r="R1141" t="s">
        <v>363</v>
      </c>
      <c r="S1141">
        <v>0.14180496000000001</v>
      </c>
      <c r="T1141" t="s">
        <v>627</v>
      </c>
      <c r="U1141">
        <v>0.12802303000000001</v>
      </c>
      <c r="V1141" t="s">
        <v>312</v>
      </c>
      <c r="W1141">
        <v>0.10185269</v>
      </c>
    </row>
    <row r="1142" spans="1:23" x14ac:dyDescent="0.25">
      <c r="A1142" s="3" t="str">
        <f>HYPERLINK("http://ids.si.edu/ids/deliveryService?id=NMAH-AHB2013q077847","NMAH-AHB2013q077847")</f>
        <v>NMAH-AHB2013q077847</v>
      </c>
      <c r="B1142" s="3" t="s">
        <v>2692</v>
      </c>
      <c r="C1142" s="3">
        <v>1122611</v>
      </c>
      <c r="D1142" s="3" t="s">
        <v>1167</v>
      </c>
      <c r="E1142" s="4" t="s">
        <v>2693</v>
      </c>
      <c r="F1142" t="s">
        <v>1083</v>
      </c>
      <c r="G1142">
        <v>0.91729134321212769</v>
      </c>
      <c r="H1142" t="s">
        <v>292</v>
      </c>
      <c r="I1142">
        <v>0.91536819934844971</v>
      </c>
      <c r="J1142" t="s">
        <v>1875</v>
      </c>
      <c r="K1142" s="4">
        <v>0.84220969676971436</v>
      </c>
      <c r="L1142" t="s">
        <v>681</v>
      </c>
      <c r="M1142">
        <v>0.95499639999999997</v>
      </c>
      <c r="N1142" t="s">
        <v>627</v>
      </c>
      <c r="O1142">
        <v>1.6094653E-2</v>
      </c>
      <c r="P1142" t="s">
        <v>312</v>
      </c>
      <c r="Q1142" s="4">
        <v>9.276590999999999E-3</v>
      </c>
      <c r="R1142" t="s">
        <v>151</v>
      </c>
      <c r="S1142">
        <v>0.25014922000000001</v>
      </c>
      <c r="T1142" t="s">
        <v>333</v>
      </c>
      <c r="U1142">
        <v>0.20505917000000001</v>
      </c>
      <c r="V1142" t="s">
        <v>495</v>
      </c>
      <c r="W1142">
        <v>0.17418354999999999</v>
      </c>
    </row>
    <row r="1143" spans="1:23" x14ac:dyDescent="0.25">
      <c r="A1143" s="3" t="str">
        <f>HYPERLINK("http://ids.si.edu/ids/deliveryService?id=NMAH-AHB2017q051486","NMAH-AHB2017q051486")</f>
        <v>NMAH-AHB2017q051486</v>
      </c>
      <c r="B1143" s="3" t="s">
        <v>2694</v>
      </c>
      <c r="C1143" s="3">
        <v>747833</v>
      </c>
      <c r="D1143" s="3" t="s">
        <v>1167</v>
      </c>
      <c r="E1143" s="4" t="s">
        <v>1234</v>
      </c>
      <c r="F1143" t="s">
        <v>50</v>
      </c>
      <c r="G1143">
        <v>0.86846417188644409</v>
      </c>
      <c r="H1143" t="s">
        <v>2695</v>
      </c>
      <c r="I1143">
        <v>0.85679662227630615</v>
      </c>
      <c r="J1143" t="s">
        <v>49</v>
      </c>
      <c r="K1143" s="4">
        <v>0.84423530101776123</v>
      </c>
      <c r="L1143" t="s">
        <v>212</v>
      </c>
      <c r="M1143">
        <v>0.48312068000000002</v>
      </c>
      <c r="N1143" t="s">
        <v>668</v>
      </c>
      <c r="O1143">
        <v>0.29027947999999998</v>
      </c>
      <c r="P1143" t="s">
        <v>600</v>
      </c>
      <c r="Q1143" s="4">
        <v>5.2683239999999999E-2</v>
      </c>
      <c r="R1143" t="s">
        <v>212</v>
      </c>
      <c r="S1143">
        <v>0.25761225999999998</v>
      </c>
      <c r="T1143" t="s">
        <v>718</v>
      </c>
      <c r="U1143">
        <v>0.1100252</v>
      </c>
      <c r="V1143" t="s">
        <v>174</v>
      </c>
      <c r="W1143">
        <v>0.10464411999999999</v>
      </c>
    </row>
    <row r="1144" spans="1:23" x14ac:dyDescent="0.25">
      <c r="A1144" s="3" t="str">
        <f>HYPERLINK("http://ids.si.edu/ids/deliveryService?id=NMAH-AHB2012q67529-000001","NMAH-AHB2012q67529-000001")</f>
        <v>NMAH-AHB2012q67529-000001</v>
      </c>
      <c r="B1144" s="3" t="s">
        <v>2696</v>
      </c>
      <c r="C1144" s="3">
        <v>1281500</v>
      </c>
      <c r="D1144" s="3" t="s">
        <v>1167</v>
      </c>
      <c r="E1144" s="4" t="s">
        <v>1173</v>
      </c>
      <c r="F1144" t="s">
        <v>61</v>
      </c>
      <c r="G1144">
        <v>0.9157753586769104</v>
      </c>
      <c r="H1144" t="s">
        <v>132</v>
      </c>
      <c r="I1144">
        <v>0.83633017539978027</v>
      </c>
      <c r="J1144" t="s">
        <v>112</v>
      </c>
      <c r="K1144" s="4">
        <v>0.80401664972305298</v>
      </c>
      <c r="L1144" t="s">
        <v>1052</v>
      </c>
      <c r="M1144">
        <v>0.10861546</v>
      </c>
      <c r="N1144" t="s">
        <v>209</v>
      </c>
      <c r="O1144">
        <v>8.5837090000000005E-2</v>
      </c>
      <c r="P1144" t="s">
        <v>335</v>
      </c>
      <c r="Q1144" s="4">
        <v>8.4807489999999999E-2</v>
      </c>
      <c r="R1144" t="s">
        <v>151</v>
      </c>
      <c r="S1144">
        <v>0.22125544</v>
      </c>
      <c r="T1144" t="s">
        <v>444</v>
      </c>
      <c r="U1144">
        <v>6.6542879999999999E-2</v>
      </c>
      <c r="V1144" t="s">
        <v>601</v>
      </c>
      <c r="W1144">
        <v>6.5611705000000006E-2</v>
      </c>
    </row>
    <row r="1145" spans="1:23" x14ac:dyDescent="0.25">
      <c r="A1145" s="3" t="str">
        <f>HYPERLINK("http://ids.si.edu/ids/deliveryService?id=NMAH-AHB2012q66238","NMAH-AHB2012q66238")</f>
        <v>NMAH-AHB2012q66238</v>
      </c>
      <c r="B1145" s="3" t="s">
        <v>2697</v>
      </c>
      <c r="C1145" s="3">
        <v>748654</v>
      </c>
      <c r="D1145" s="3" t="s">
        <v>1167</v>
      </c>
      <c r="E1145" s="4" t="s">
        <v>1173</v>
      </c>
      <c r="F1145" t="s">
        <v>61</v>
      </c>
      <c r="G1145">
        <v>0.89724308252334595</v>
      </c>
      <c r="H1145" t="s">
        <v>112</v>
      </c>
      <c r="I1145">
        <v>0.68572378158569336</v>
      </c>
      <c r="L1145" t="s">
        <v>66</v>
      </c>
      <c r="M1145">
        <v>0.19336503999999999</v>
      </c>
      <c r="N1145" t="s">
        <v>209</v>
      </c>
      <c r="O1145">
        <v>6.3443959999999994E-2</v>
      </c>
      <c r="P1145" t="s">
        <v>404</v>
      </c>
      <c r="Q1145" s="4">
        <v>6.2532199999999996E-2</v>
      </c>
      <c r="R1145" t="s">
        <v>151</v>
      </c>
      <c r="S1145">
        <v>0.11709909</v>
      </c>
      <c r="T1145" t="s">
        <v>66</v>
      </c>
      <c r="U1145">
        <v>8.6726419999999999E-2</v>
      </c>
      <c r="V1145" t="s">
        <v>2698</v>
      </c>
      <c r="W1145">
        <v>7.668411E-2</v>
      </c>
    </row>
    <row r="1146" spans="1:23" x14ac:dyDescent="0.25">
      <c r="A1146" s="3" t="str">
        <f>HYPERLINK("http://ids.si.edu/ids/deliveryService?id=NMAH-AHB2014q042540","NMAH-AHB2014q042540")</f>
        <v>NMAH-AHB2014q042540</v>
      </c>
      <c r="B1146" s="3" t="s">
        <v>2699</v>
      </c>
      <c r="C1146" s="3">
        <v>718572</v>
      </c>
      <c r="D1146" s="3" t="s">
        <v>1167</v>
      </c>
      <c r="E1146" s="4" t="s">
        <v>1332</v>
      </c>
      <c r="F1146" t="s">
        <v>1280</v>
      </c>
      <c r="G1146">
        <v>0.95022958517074585</v>
      </c>
      <c r="H1146" t="s">
        <v>1174</v>
      </c>
      <c r="I1146">
        <v>0.93938010931015015</v>
      </c>
      <c r="J1146" t="s">
        <v>1188</v>
      </c>
      <c r="K1146" s="4">
        <v>0.90004903078079224</v>
      </c>
      <c r="L1146" t="s">
        <v>363</v>
      </c>
      <c r="M1146">
        <v>0.56389993000000005</v>
      </c>
      <c r="N1146" t="s">
        <v>312</v>
      </c>
      <c r="O1146">
        <v>0.25270903</v>
      </c>
      <c r="P1146" t="s">
        <v>627</v>
      </c>
      <c r="Q1146" s="4">
        <v>8.9446590000000006E-2</v>
      </c>
      <c r="R1146" t="s">
        <v>312</v>
      </c>
      <c r="S1146">
        <v>0.57264750000000009</v>
      </c>
      <c r="T1146" t="s">
        <v>627</v>
      </c>
      <c r="U1146">
        <v>0.17648484</v>
      </c>
      <c r="V1146" t="s">
        <v>363</v>
      </c>
      <c r="W1146">
        <v>7.9078839999999997E-2</v>
      </c>
    </row>
    <row r="1147" spans="1:23" x14ac:dyDescent="0.25">
      <c r="A1147" s="3" t="str">
        <f>HYPERLINK("http://ids.si.edu/ids/deliveryService?id=NMAH-AHB2017q060414","NMAH-AHB2017q060414")</f>
        <v>NMAH-AHB2017q060414</v>
      </c>
      <c r="B1147" s="3" t="s">
        <v>2700</v>
      </c>
      <c r="C1147" s="3">
        <v>2944</v>
      </c>
      <c r="D1147" s="3" t="s">
        <v>1167</v>
      </c>
      <c r="E1147" s="4" t="s">
        <v>2701</v>
      </c>
      <c r="F1147" t="s">
        <v>196</v>
      </c>
      <c r="G1147">
        <v>0.86264622211456299</v>
      </c>
      <c r="H1147" t="s">
        <v>1224</v>
      </c>
      <c r="I1147">
        <v>0.79458367824554443</v>
      </c>
      <c r="J1147" t="s">
        <v>195</v>
      </c>
      <c r="K1147" s="4">
        <v>0.73253887891769409</v>
      </c>
      <c r="L1147" t="s">
        <v>369</v>
      </c>
      <c r="M1147">
        <v>0.1064602</v>
      </c>
      <c r="N1147" t="s">
        <v>668</v>
      </c>
      <c r="O1147">
        <v>6.4501580000000003E-2</v>
      </c>
      <c r="P1147" t="s">
        <v>571</v>
      </c>
      <c r="Q1147" s="4">
        <v>5.5269390000000002E-2</v>
      </c>
      <c r="R1147" t="s">
        <v>159</v>
      </c>
      <c r="S1147">
        <v>0.17381996999999999</v>
      </c>
      <c r="T1147" t="s">
        <v>336</v>
      </c>
      <c r="U1147">
        <v>0.16902038</v>
      </c>
      <c r="V1147" t="s">
        <v>83</v>
      </c>
      <c r="W1147">
        <v>0.10187951000000001</v>
      </c>
    </row>
    <row r="1148" spans="1:23" x14ac:dyDescent="0.25">
      <c r="A1148" s="3" t="str">
        <f>HYPERLINK("http://ids.si.edu/ids/deliveryService?id=NMAH-AHB2012q77279-000001","NMAH-AHB2012q77279-000001")</f>
        <v>NMAH-AHB2012q77279-000001</v>
      </c>
      <c r="B1148" s="3" t="s">
        <v>2702</v>
      </c>
      <c r="C1148" s="3">
        <v>718636</v>
      </c>
      <c r="D1148" s="3" t="s">
        <v>1167</v>
      </c>
      <c r="E1148" s="4" t="s">
        <v>1173</v>
      </c>
      <c r="F1148" t="s">
        <v>61</v>
      </c>
      <c r="G1148">
        <v>0.86929196119308472</v>
      </c>
      <c r="H1148" t="s">
        <v>38</v>
      </c>
      <c r="I1148">
        <v>0.620880126953125</v>
      </c>
      <c r="L1148" t="s">
        <v>1052</v>
      </c>
      <c r="M1148">
        <v>0.23659306999999999</v>
      </c>
      <c r="N1148" t="s">
        <v>426</v>
      </c>
      <c r="O1148">
        <v>0.19619942000000001</v>
      </c>
      <c r="P1148" t="s">
        <v>83</v>
      </c>
      <c r="Q1148" s="4">
        <v>5.6605019999999999E-2</v>
      </c>
      <c r="R1148" t="s">
        <v>66</v>
      </c>
      <c r="S1148">
        <v>9.3565540000000003E-2</v>
      </c>
      <c r="T1148" t="s">
        <v>150</v>
      </c>
      <c r="U1148">
        <v>6.1989362999999999E-2</v>
      </c>
      <c r="V1148" t="s">
        <v>444</v>
      </c>
      <c r="W1148">
        <v>6.0709619999999999E-2</v>
      </c>
    </row>
    <row r="1149" spans="1:23" x14ac:dyDescent="0.25">
      <c r="A1149" s="3" t="str">
        <f>HYPERLINK("http://ids.si.edu/ids/deliveryService?id=NMAH-AHB2014q094100","NMAH-AHB2014q094100")</f>
        <v>NMAH-AHB2014q094100</v>
      </c>
      <c r="B1149" s="3" t="s">
        <v>2703</v>
      </c>
      <c r="C1149" s="3">
        <v>472733</v>
      </c>
      <c r="D1149" s="3" t="s">
        <v>1167</v>
      </c>
      <c r="E1149" s="4" t="s">
        <v>2510</v>
      </c>
      <c r="F1149" t="s">
        <v>91</v>
      </c>
      <c r="G1149">
        <v>0.91031128168106079</v>
      </c>
      <c r="H1149" t="s">
        <v>147</v>
      </c>
      <c r="I1149">
        <v>0.90964215993881226</v>
      </c>
      <c r="J1149" t="s">
        <v>996</v>
      </c>
      <c r="K1149" s="4">
        <v>0.64253038167953491</v>
      </c>
      <c r="L1149" t="s">
        <v>152</v>
      </c>
      <c r="M1149">
        <v>0.30452087999999999</v>
      </c>
      <c r="N1149" t="s">
        <v>185</v>
      </c>
      <c r="O1149">
        <v>0.23097634</v>
      </c>
      <c r="P1149" t="s">
        <v>1151</v>
      </c>
      <c r="Q1149" s="4">
        <v>0.118691824</v>
      </c>
      <c r="R1149" t="s">
        <v>152</v>
      </c>
      <c r="S1149">
        <v>8.9201139999999998E-2</v>
      </c>
      <c r="T1149" t="s">
        <v>149</v>
      </c>
      <c r="U1149">
        <v>5.1882089999999999E-2</v>
      </c>
      <c r="V1149" t="s">
        <v>107</v>
      </c>
      <c r="W1149">
        <v>5.1633435999999998E-2</v>
      </c>
    </row>
    <row r="1150" spans="1:23" x14ac:dyDescent="0.25">
      <c r="A1150" s="3" t="str">
        <f>HYPERLINK("http://ids.si.edu/ids/deliveryService?id=NMAH-RWS2014-02503","NMAH-RWS2014-02503")</f>
        <v>NMAH-RWS2014-02503</v>
      </c>
      <c r="B1150" s="3" t="s">
        <v>2704</v>
      </c>
      <c r="C1150" s="3">
        <v>334371</v>
      </c>
      <c r="D1150" s="3" t="s">
        <v>1167</v>
      </c>
      <c r="E1150" s="4" t="s">
        <v>2705</v>
      </c>
      <c r="F1150" t="s">
        <v>91</v>
      </c>
      <c r="G1150">
        <v>0.96184420585632324</v>
      </c>
      <c r="H1150" t="s">
        <v>2706</v>
      </c>
      <c r="I1150">
        <v>0.955963134765625</v>
      </c>
      <c r="J1150" t="s">
        <v>2707</v>
      </c>
      <c r="K1150" s="4">
        <v>0.94405418634414673</v>
      </c>
      <c r="L1150" t="s">
        <v>2708</v>
      </c>
      <c r="M1150">
        <v>0.50660790000000011</v>
      </c>
      <c r="N1150" t="s">
        <v>1748</v>
      </c>
      <c r="O1150">
        <v>0.21086761000000001</v>
      </c>
      <c r="P1150" t="s">
        <v>598</v>
      </c>
      <c r="Q1150" s="4">
        <v>0.14570991999999999</v>
      </c>
      <c r="R1150" t="s">
        <v>1748</v>
      </c>
      <c r="S1150">
        <v>0.59952510000000003</v>
      </c>
      <c r="T1150" t="s">
        <v>563</v>
      </c>
      <c r="U1150">
        <v>8.2183939999999997E-2</v>
      </c>
      <c r="V1150" t="s">
        <v>2708</v>
      </c>
      <c r="W1150">
        <v>7.0922025E-2</v>
      </c>
    </row>
    <row r="1151" spans="1:23" x14ac:dyDescent="0.25">
      <c r="A1151" s="3" t="str">
        <f>HYPERLINK("http://ids.si.edu/ids/deliveryService?id=NMAH-RWS2012-05319","NMAH-RWS2012-05319")</f>
        <v>NMAH-RWS2012-05319</v>
      </c>
      <c r="B1151" s="3" t="s">
        <v>2709</v>
      </c>
      <c r="C1151" s="3">
        <v>2035</v>
      </c>
      <c r="D1151" s="3" t="s">
        <v>1167</v>
      </c>
      <c r="E1151" s="4" t="s">
        <v>2710</v>
      </c>
      <c r="F1151" t="s">
        <v>736</v>
      </c>
      <c r="G1151">
        <v>0.95470666885375977</v>
      </c>
      <c r="H1151" t="s">
        <v>1892</v>
      </c>
      <c r="I1151">
        <v>0.81724309921264648</v>
      </c>
      <c r="J1151" t="s">
        <v>574</v>
      </c>
      <c r="K1151" s="4">
        <v>0.70715582370758057</v>
      </c>
      <c r="L1151" t="s">
        <v>498</v>
      </c>
      <c r="M1151">
        <v>0.73156390000000004</v>
      </c>
      <c r="N1151" t="s">
        <v>703</v>
      </c>
      <c r="O1151">
        <v>9.2354110000000003E-2</v>
      </c>
      <c r="P1151" t="s">
        <v>958</v>
      </c>
      <c r="Q1151" s="4">
        <v>7.1777380000000002E-2</v>
      </c>
      <c r="R1151" t="s">
        <v>498</v>
      </c>
      <c r="S1151">
        <v>0.74952440000000009</v>
      </c>
      <c r="T1151" t="s">
        <v>879</v>
      </c>
      <c r="U1151">
        <v>5.3306829999999999E-2</v>
      </c>
      <c r="V1151" t="s">
        <v>703</v>
      </c>
      <c r="W1151">
        <v>3.771058E-2</v>
      </c>
    </row>
    <row r="1152" spans="1:23" x14ac:dyDescent="0.25">
      <c r="A1152" s="3" t="str">
        <f>HYPERLINK("http://ids.si.edu/ids/deliveryService?id=NMAH-AHB2017q057324","NMAH-AHB2017q057324")</f>
        <v>NMAH-AHB2017q057324</v>
      </c>
      <c r="B1152" s="3" t="s">
        <v>2711</v>
      </c>
      <c r="C1152" s="3">
        <v>1330023</v>
      </c>
      <c r="D1152" s="3" t="s">
        <v>1167</v>
      </c>
      <c r="E1152" s="4" t="s">
        <v>1097</v>
      </c>
      <c r="F1152" t="s">
        <v>38</v>
      </c>
      <c r="G1152">
        <v>0.74396562576293945</v>
      </c>
      <c r="H1152" t="s">
        <v>188</v>
      </c>
      <c r="I1152">
        <v>0.68536925315856934</v>
      </c>
      <c r="J1152" t="s">
        <v>50</v>
      </c>
      <c r="K1152" s="4">
        <v>0.5114516019821167</v>
      </c>
      <c r="L1152" t="s">
        <v>151</v>
      </c>
      <c r="M1152">
        <v>0.10789914</v>
      </c>
      <c r="N1152" t="s">
        <v>95</v>
      </c>
      <c r="O1152">
        <v>0.10070127</v>
      </c>
      <c r="P1152" t="s">
        <v>93</v>
      </c>
      <c r="Q1152" s="4">
        <v>6.2642395000000003E-2</v>
      </c>
      <c r="R1152" t="s">
        <v>765</v>
      </c>
      <c r="S1152">
        <v>0.164966</v>
      </c>
      <c r="T1152" t="s">
        <v>336</v>
      </c>
      <c r="U1152">
        <v>0.11609055</v>
      </c>
      <c r="V1152" t="s">
        <v>685</v>
      </c>
      <c r="W1152">
        <v>8.4379344999999994E-2</v>
      </c>
    </row>
    <row r="1153" spans="1:23" x14ac:dyDescent="0.25">
      <c r="A1153" s="3" t="str">
        <f>HYPERLINK("http://ids.si.edu/ids/deliveryService?id=NMAH-AHB2017q050001","NMAH-AHB2017q050001")</f>
        <v>NMAH-AHB2017q050001</v>
      </c>
      <c r="B1153" s="3" t="s">
        <v>2712</v>
      </c>
      <c r="C1153" s="3">
        <v>878108</v>
      </c>
      <c r="D1153" s="3" t="s">
        <v>1167</v>
      </c>
      <c r="E1153" s="4" t="s">
        <v>2713</v>
      </c>
      <c r="F1153" t="s">
        <v>388</v>
      </c>
      <c r="G1153">
        <v>0.62865817546844482</v>
      </c>
      <c r="H1153" t="s">
        <v>1259</v>
      </c>
      <c r="I1153">
        <v>0.60565811395645142</v>
      </c>
      <c r="L1153" t="s">
        <v>1644</v>
      </c>
      <c r="M1153">
        <v>8.874398E-2</v>
      </c>
      <c r="N1153" t="s">
        <v>619</v>
      </c>
      <c r="O1153">
        <v>7.3119304999999996E-2</v>
      </c>
      <c r="P1153" t="s">
        <v>601</v>
      </c>
      <c r="Q1153" s="4">
        <v>6.6033759999999997E-2</v>
      </c>
      <c r="R1153" t="s">
        <v>303</v>
      </c>
      <c r="S1153">
        <v>0.16848536</v>
      </c>
      <c r="T1153" t="s">
        <v>1644</v>
      </c>
      <c r="U1153">
        <v>9.3845464000000003E-2</v>
      </c>
      <c r="V1153" t="s">
        <v>765</v>
      </c>
      <c r="W1153">
        <v>7.2896719999999998E-2</v>
      </c>
    </row>
    <row r="1154" spans="1:23" x14ac:dyDescent="0.25">
      <c r="A1154" s="3" t="str">
        <f>HYPERLINK("http://ids.si.edu/ids/deliveryService?id=NMAH-AHB2013q075127","NMAH-AHB2013q075127")</f>
        <v>NMAH-AHB2013q075127</v>
      </c>
      <c r="B1154" s="3" t="s">
        <v>2714</v>
      </c>
      <c r="C1154" s="3">
        <v>1215684</v>
      </c>
      <c r="D1154" s="3" t="s">
        <v>1167</v>
      </c>
      <c r="E1154" s="4" t="s">
        <v>2715</v>
      </c>
      <c r="L1154" t="s">
        <v>239</v>
      </c>
      <c r="M1154">
        <v>0.36372110000000002</v>
      </c>
      <c r="N1154" t="s">
        <v>389</v>
      </c>
      <c r="O1154">
        <v>8.5804169999999999E-2</v>
      </c>
      <c r="P1154" t="s">
        <v>84</v>
      </c>
      <c r="Q1154" s="4">
        <v>7.0942699999999997E-2</v>
      </c>
      <c r="R1154" t="s">
        <v>495</v>
      </c>
      <c r="S1154">
        <v>0.29796030000000001</v>
      </c>
      <c r="T1154" t="s">
        <v>151</v>
      </c>
      <c r="U1154">
        <v>0.22933643000000001</v>
      </c>
      <c r="V1154" t="s">
        <v>82</v>
      </c>
      <c r="W1154">
        <v>8.4197275000000002E-2</v>
      </c>
    </row>
    <row r="1155" spans="1:23" x14ac:dyDescent="0.25">
      <c r="A1155" s="3" t="str">
        <f>HYPERLINK("http://ids.si.edu/ids/deliveryService?id=NMAH-AHB2009q11479","NMAH-AHB2009q11479")</f>
        <v>NMAH-AHB2009q11479</v>
      </c>
      <c r="B1155" s="3" t="s">
        <v>2716</v>
      </c>
      <c r="C1155" s="3">
        <v>994059</v>
      </c>
      <c r="D1155" s="3" t="s">
        <v>1167</v>
      </c>
      <c r="E1155" s="4" t="s">
        <v>213</v>
      </c>
      <c r="F1155" t="s">
        <v>50</v>
      </c>
      <c r="G1155">
        <v>0.81503552198410034</v>
      </c>
      <c r="H1155" t="s">
        <v>636</v>
      </c>
      <c r="I1155">
        <v>0.80635660886764526</v>
      </c>
      <c r="J1155" t="s">
        <v>846</v>
      </c>
      <c r="K1155" s="4">
        <v>0.7737576961517334</v>
      </c>
      <c r="L1155" t="s">
        <v>213</v>
      </c>
      <c r="M1155">
        <v>0.6151489</v>
      </c>
      <c r="N1155" t="s">
        <v>30</v>
      </c>
      <c r="O1155">
        <v>0.14800874999999999</v>
      </c>
      <c r="P1155" t="s">
        <v>86</v>
      </c>
      <c r="Q1155" s="4">
        <v>9.8498100000000005E-2</v>
      </c>
      <c r="R1155" t="s">
        <v>213</v>
      </c>
      <c r="S1155">
        <v>0.87329816999999998</v>
      </c>
      <c r="T1155" t="s">
        <v>1013</v>
      </c>
      <c r="U1155">
        <v>4.4594455999999998E-2</v>
      </c>
      <c r="V1155" t="s">
        <v>30</v>
      </c>
      <c r="W1155">
        <v>4.3876375999999988E-2</v>
      </c>
    </row>
    <row r="1156" spans="1:23" x14ac:dyDescent="0.25">
      <c r="A1156" s="3" t="str">
        <f>HYPERLINK("http://ids.si.edu/ids/deliveryService?id=NMAH-AHB2012q63573","NMAH-AHB2012q63573")</f>
        <v>NMAH-AHB2012q63573</v>
      </c>
      <c r="B1156" s="3" t="s">
        <v>2717</v>
      </c>
      <c r="C1156" s="3">
        <v>715472</v>
      </c>
      <c r="D1156" s="3" t="s">
        <v>1167</v>
      </c>
      <c r="E1156" s="4" t="s">
        <v>1173</v>
      </c>
      <c r="F1156" t="s">
        <v>91</v>
      </c>
      <c r="G1156">
        <v>0.95741260051727295</v>
      </c>
      <c r="H1156" t="s">
        <v>1187</v>
      </c>
      <c r="I1156">
        <v>0.86082929372787476</v>
      </c>
      <c r="J1156" t="s">
        <v>132</v>
      </c>
      <c r="K1156" s="4">
        <v>0.83633017539978027</v>
      </c>
      <c r="L1156" t="s">
        <v>312</v>
      </c>
      <c r="M1156">
        <v>0.47133683999999998</v>
      </c>
      <c r="N1156" t="s">
        <v>95</v>
      </c>
      <c r="O1156">
        <v>0.23138110000000001</v>
      </c>
      <c r="P1156" t="s">
        <v>363</v>
      </c>
      <c r="Q1156" s="4">
        <v>0.17073342</v>
      </c>
      <c r="R1156" t="s">
        <v>363</v>
      </c>
      <c r="S1156">
        <v>0.16211876</v>
      </c>
      <c r="T1156" t="s">
        <v>312</v>
      </c>
      <c r="U1156">
        <v>0.119874515</v>
      </c>
      <c r="V1156" t="s">
        <v>627</v>
      </c>
      <c r="W1156">
        <v>8.1631239999999994E-2</v>
      </c>
    </row>
    <row r="1157" spans="1:23" x14ac:dyDescent="0.25">
      <c r="A1157" s="3" t="str">
        <f>HYPERLINK("http://ids.si.edu/ids/deliveryService?id=NMAH-AHB2017q052717","NMAH-AHB2017q052717")</f>
        <v>NMAH-AHB2017q052717</v>
      </c>
      <c r="B1157" s="3" t="s">
        <v>2718</v>
      </c>
      <c r="C1157" s="3">
        <v>761557</v>
      </c>
      <c r="D1157" s="3" t="s">
        <v>1167</v>
      </c>
      <c r="E1157" s="4" t="s">
        <v>2719</v>
      </c>
      <c r="F1157" t="s">
        <v>91</v>
      </c>
      <c r="G1157">
        <v>0.88283330202102661</v>
      </c>
      <c r="H1157" t="s">
        <v>49</v>
      </c>
      <c r="I1157">
        <v>0.60942208766937256</v>
      </c>
      <c r="J1157" t="s">
        <v>50</v>
      </c>
      <c r="K1157" s="4">
        <v>0.60706108808517456</v>
      </c>
      <c r="L1157" t="s">
        <v>1184</v>
      </c>
      <c r="M1157">
        <v>0.76752644999999997</v>
      </c>
      <c r="N1157" t="s">
        <v>369</v>
      </c>
      <c r="O1157">
        <v>0.11748049000000001</v>
      </c>
      <c r="P1157" t="s">
        <v>261</v>
      </c>
      <c r="Q1157" s="4">
        <v>7.411819E-2</v>
      </c>
      <c r="R1157" t="s">
        <v>261</v>
      </c>
      <c r="S1157">
        <v>0.7359194</v>
      </c>
      <c r="T1157" t="s">
        <v>369</v>
      </c>
      <c r="U1157">
        <v>4.1995234999999999E-2</v>
      </c>
      <c r="V1157" t="s">
        <v>150</v>
      </c>
      <c r="W1157">
        <v>3.3629491999999997E-2</v>
      </c>
    </row>
    <row r="1158" spans="1:23" x14ac:dyDescent="0.25">
      <c r="A1158" s="3" t="str">
        <f>HYPERLINK("http://ids.si.edu/ids/deliveryService?id=NMAH-AHB2017q052843","NMAH-AHB2017q052843")</f>
        <v>NMAH-AHB2017q052843</v>
      </c>
      <c r="B1158" s="3" t="s">
        <v>2720</v>
      </c>
      <c r="C1158" s="3">
        <v>745754</v>
      </c>
      <c r="D1158" s="3" t="s">
        <v>1167</v>
      </c>
      <c r="E1158" s="4" t="s">
        <v>1364</v>
      </c>
      <c r="F1158" t="s">
        <v>1372</v>
      </c>
      <c r="G1158">
        <v>0.98843854665756226</v>
      </c>
      <c r="H1158" t="s">
        <v>2721</v>
      </c>
      <c r="I1158">
        <v>0.98740160465240479</v>
      </c>
      <c r="J1158" t="s">
        <v>2722</v>
      </c>
      <c r="K1158" s="4">
        <v>0.87196606397628784</v>
      </c>
      <c r="L1158" t="s">
        <v>261</v>
      </c>
      <c r="M1158">
        <v>0.61628645999999998</v>
      </c>
      <c r="N1158" t="s">
        <v>1184</v>
      </c>
      <c r="O1158">
        <v>0.37344460000000002</v>
      </c>
      <c r="P1158" t="s">
        <v>183</v>
      </c>
      <c r="Q1158" s="4">
        <v>3.5882624999999998E-3</v>
      </c>
      <c r="R1158" t="s">
        <v>261</v>
      </c>
      <c r="S1158">
        <v>0.96563310000000002</v>
      </c>
      <c r="T1158" t="s">
        <v>1184</v>
      </c>
      <c r="U1158">
        <v>2.6088159999999999E-2</v>
      </c>
      <c r="V1158" t="s">
        <v>31</v>
      </c>
      <c r="W1158">
        <v>2.7526813E-3</v>
      </c>
    </row>
    <row r="1159" spans="1:23" x14ac:dyDescent="0.25">
      <c r="A1159" s="3" t="str">
        <f>HYPERLINK("http://ids.si.edu/ids/deliveryService?id=NMAH-AHB2017q056559","NMAH-AHB2017q056559")</f>
        <v>NMAH-AHB2017q056559</v>
      </c>
      <c r="B1159" s="3" t="s">
        <v>2723</v>
      </c>
      <c r="C1159" s="3">
        <v>27</v>
      </c>
      <c r="D1159" s="3" t="s">
        <v>1167</v>
      </c>
      <c r="E1159" s="4" t="s">
        <v>2724</v>
      </c>
      <c r="F1159" t="s">
        <v>281</v>
      </c>
      <c r="G1159">
        <v>0.57880568504333496</v>
      </c>
      <c r="L1159" t="s">
        <v>151</v>
      </c>
      <c r="M1159">
        <v>0.22514454</v>
      </c>
      <c r="N1159" t="s">
        <v>1042</v>
      </c>
      <c r="O1159">
        <v>0.16976999000000001</v>
      </c>
      <c r="P1159" t="s">
        <v>554</v>
      </c>
      <c r="Q1159" s="4">
        <v>0.16007460000000001</v>
      </c>
      <c r="R1159" t="s">
        <v>329</v>
      </c>
      <c r="S1159">
        <v>0.30201090000000003</v>
      </c>
      <c r="T1159" t="s">
        <v>151</v>
      </c>
      <c r="U1159">
        <v>0.105067305</v>
      </c>
      <c r="V1159" t="s">
        <v>84</v>
      </c>
      <c r="W1159">
        <v>0.10445128400000001</v>
      </c>
    </row>
    <row r="1160" spans="1:23" x14ac:dyDescent="0.25">
      <c r="A1160" s="3" t="str">
        <f>HYPERLINK("http://ids.si.edu/ids/deliveryService?id=NMAH-AHB2017q057339","NMAH-AHB2017q057339")</f>
        <v>NMAH-AHB2017q057339</v>
      </c>
      <c r="B1160" s="3" t="s">
        <v>2725</v>
      </c>
      <c r="C1160" s="3">
        <v>1347472</v>
      </c>
      <c r="D1160" s="3" t="s">
        <v>1167</v>
      </c>
      <c r="E1160" s="4" t="s">
        <v>2542</v>
      </c>
      <c r="F1160" t="s">
        <v>147</v>
      </c>
      <c r="G1160">
        <v>0.89417493343353271</v>
      </c>
      <c r="H1160" t="s">
        <v>38</v>
      </c>
      <c r="I1160">
        <v>0.60808920860290527</v>
      </c>
      <c r="L1160" t="s">
        <v>209</v>
      </c>
      <c r="M1160">
        <v>0.15995295000000001</v>
      </c>
      <c r="N1160" t="s">
        <v>93</v>
      </c>
      <c r="O1160">
        <v>0.14096022999999999</v>
      </c>
      <c r="P1160" t="s">
        <v>185</v>
      </c>
      <c r="Q1160" s="4">
        <v>8.353943400000001E-2</v>
      </c>
      <c r="R1160" t="s">
        <v>93</v>
      </c>
      <c r="S1160">
        <v>0.11831672</v>
      </c>
      <c r="T1160" t="s">
        <v>148</v>
      </c>
      <c r="U1160">
        <v>9.4697069999999994E-2</v>
      </c>
      <c r="V1160" t="s">
        <v>185</v>
      </c>
      <c r="W1160">
        <v>8.6961515000000003E-2</v>
      </c>
    </row>
    <row r="1161" spans="1:23" x14ac:dyDescent="0.25">
      <c r="A1161" s="3" t="str">
        <f>HYPERLINK("http://ids.si.edu/ids/deliveryService?id=NMAH-AHB2017q057755","NMAH-AHB2017q057755")</f>
        <v>NMAH-AHB2017q057755</v>
      </c>
      <c r="B1161" s="3" t="s">
        <v>2726</v>
      </c>
      <c r="C1161" s="3">
        <v>1345017</v>
      </c>
      <c r="D1161" s="3" t="s">
        <v>1167</v>
      </c>
      <c r="E1161" s="4" t="s">
        <v>2727</v>
      </c>
      <c r="F1161" t="s">
        <v>132</v>
      </c>
      <c r="G1161">
        <v>0.86494487524032593</v>
      </c>
      <c r="H1161" t="s">
        <v>486</v>
      </c>
      <c r="I1161">
        <v>0.71445417404174805</v>
      </c>
      <c r="J1161" t="s">
        <v>38</v>
      </c>
      <c r="K1161" s="4">
        <v>0.66816115379333496</v>
      </c>
      <c r="L1161" t="s">
        <v>149</v>
      </c>
      <c r="M1161">
        <v>0.24550904000000001</v>
      </c>
      <c r="N1161" t="s">
        <v>66</v>
      </c>
      <c r="O1161">
        <v>0.108104415</v>
      </c>
      <c r="P1161" t="s">
        <v>151</v>
      </c>
      <c r="Q1161" s="4">
        <v>9.7770999999999997E-2</v>
      </c>
      <c r="R1161" t="s">
        <v>149</v>
      </c>
      <c r="S1161">
        <v>0.21518159000000001</v>
      </c>
      <c r="T1161" t="s">
        <v>159</v>
      </c>
      <c r="U1161">
        <v>0.21254143</v>
      </c>
      <c r="V1161" t="s">
        <v>336</v>
      </c>
      <c r="W1161">
        <v>0.21051167000000001</v>
      </c>
    </row>
    <row r="1162" spans="1:23" x14ac:dyDescent="0.25">
      <c r="A1162" s="3" t="str">
        <f>HYPERLINK("http://ids.si.edu/ids/deliveryService?id=NMAH-AHB2017q057964","NMAH-AHB2017q057964")</f>
        <v>NMAH-AHB2017q057964</v>
      </c>
      <c r="B1162" s="3" t="s">
        <v>2728</v>
      </c>
      <c r="C1162" s="3">
        <v>1325859</v>
      </c>
      <c r="D1162" s="3" t="s">
        <v>1167</v>
      </c>
      <c r="E1162" s="4" t="s">
        <v>2729</v>
      </c>
      <c r="F1162" t="s">
        <v>112</v>
      </c>
      <c r="G1162">
        <v>0.74956268072128296</v>
      </c>
      <c r="H1162" t="s">
        <v>196</v>
      </c>
      <c r="I1162">
        <v>0.69469040632247925</v>
      </c>
      <c r="J1162" t="s">
        <v>486</v>
      </c>
      <c r="K1162" s="4">
        <v>0.68399506807327271</v>
      </c>
      <c r="L1162" t="s">
        <v>66</v>
      </c>
      <c r="M1162">
        <v>0.35090163000000002</v>
      </c>
      <c r="N1162" t="s">
        <v>426</v>
      </c>
      <c r="O1162">
        <v>9.3958996000000003E-2</v>
      </c>
      <c r="P1162" t="s">
        <v>152</v>
      </c>
      <c r="Q1162" s="4">
        <v>7.7653650000000005E-2</v>
      </c>
      <c r="R1162" t="s">
        <v>66</v>
      </c>
      <c r="S1162">
        <v>0.44073644000000001</v>
      </c>
      <c r="T1162" t="s">
        <v>261</v>
      </c>
      <c r="U1162">
        <v>5.9760210000000001E-2</v>
      </c>
      <c r="V1162" t="s">
        <v>190</v>
      </c>
      <c r="W1162">
        <v>3.5033103000000003E-2</v>
      </c>
    </row>
    <row r="1163" spans="1:23" x14ac:dyDescent="0.25">
      <c r="A1163" s="3" t="str">
        <f>HYPERLINK("http://ids.si.edu/ids/deliveryService?id=NMAH-AHB2012q61316","NMAH-AHB2012q61316")</f>
        <v>NMAH-AHB2012q61316</v>
      </c>
      <c r="B1163" s="3" t="s">
        <v>2730</v>
      </c>
      <c r="C1163" s="3">
        <v>209838</v>
      </c>
      <c r="D1163" s="3" t="s">
        <v>1167</v>
      </c>
      <c r="E1163" s="4" t="s">
        <v>2731</v>
      </c>
      <c r="F1163" t="s">
        <v>91</v>
      </c>
      <c r="G1163">
        <v>0.95000046491622925</v>
      </c>
      <c r="H1163" t="s">
        <v>1016</v>
      </c>
      <c r="I1163">
        <v>0.6991998553276062</v>
      </c>
      <c r="J1163" t="s">
        <v>1187</v>
      </c>
      <c r="K1163" s="4">
        <v>0.62102872133255005</v>
      </c>
      <c r="L1163" t="s">
        <v>363</v>
      </c>
      <c r="M1163">
        <v>0.64853543000000002</v>
      </c>
      <c r="N1163" t="s">
        <v>627</v>
      </c>
      <c r="O1163">
        <v>0.17722077999999999</v>
      </c>
      <c r="P1163" t="s">
        <v>82</v>
      </c>
      <c r="Q1163" s="4">
        <v>0.10399718600000001</v>
      </c>
      <c r="R1163" t="s">
        <v>363</v>
      </c>
      <c r="S1163">
        <v>0.87120025999999995</v>
      </c>
      <c r="T1163" t="s">
        <v>627</v>
      </c>
      <c r="U1163">
        <v>4.0254280000000003E-2</v>
      </c>
      <c r="V1163" t="s">
        <v>253</v>
      </c>
      <c r="W1163">
        <v>8.8335689999999994E-3</v>
      </c>
    </row>
    <row r="1164" spans="1:23" x14ac:dyDescent="0.25">
      <c r="A1164" s="3" t="str">
        <f>HYPERLINK("http://ids.si.edu/ids/deliveryService?id=NMAH-JN2015-5670","NMAH-JN2015-5670")</f>
        <v>NMAH-JN2015-5670</v>
      </c>
      <c r="B1164" s="3" t="s">
        <v>2732</v>
      </c>
      <c r="C1164" s="3">
        <v>950153</v>
      </c>
      <c r="D1164" s="3" t="s">
        <v>1450</v>
      </c>
      <c r="E1164" s="4" t="s">
        <v>309</v>
      </c>
      <c r="F1164" t="s">
        <v>1461</v>
      </c>
      <c r="G1164">
        <v>0.95727080106735229</v>
      </c>
      <c r="H1164" t="s">
        <v>1462</v>
      </c>
      <c r="I1164">
        <v>0.93154489994049072</v>
      </c>
      <c r="J1164" t="s">
        <v>1463</v>
      </c>
      <c r="K1164" s="4">
        <v>0.88523328304290771</v>
      </c>
      <c r="L1164" t="s">
        <v>1454</v>
      </c>
      <c r="M1164">
        <v>0.12790054000000001</v>
      </c>
      <c r="N1164" t="s">
        <v>334</v>
      </c>
      <c r="O1164">
        <v>8.5770800000000008E-2</v>
      </c>
      <c r="P1164" t="s">
        <v>336</v>
      </c>
      <c r="Q1164" s="4">
        <v>5.0826095000000002E-2</v>
      </c>
      <c r="R1164" t="s">
        <v>190</v>
      </c>
      <c r="S1164">
        <v>6.6059370000000006E-2</v>
      </c>
      <c r="T1164" t="s">
        <v>259</v>
      </c>
      <c r="U1164">
        <v>5.4977365E-2</v>
      </c>
      <c r="V1164" t="s">
        <v>1478</v>
      </c>
      <c r="W1164">
        <v>5.2647140000000002E-2</v>
      </c>
    </row>
    <row r="1165" spans="1:23" x14ac:dyDescent="0.25">
      <c r="A1165" s="3" t="str">
        <f>HYPERLINK("http://ids.si.edu/ids/deliveryService?id=NMAH-JN2017-01646-000001","NMAH-JN2017-01646-000001")</f>
        <v>NMAH-JN2017-01646-000001</v>
      </c>
      <c r="B1165" s="3" t="s">
        <v>2733</v>
      </c>
      <c r="C1165" s="3">
        <v>947663</v>
      </c>
      <c r="D1165" s="3" t="s">
        <v>1450</v>
      </c>
      <c r="E1165" s="4" t="s">
        <v>1451</v>
      </c>
      <c r="F1165" t="s">
        <v>1461</v>
      </c>
      <c r="G1165">
        <v>0.93588477373123169</v>
      </c>
      <c r="H1165" t="s">
        <v>50</v>
      </c>
      <c r="I1165">
        <v>0.88718718290328979</v>
      </c>
      <c r="J1165" t="s">
        <v>1463</v>
      </c>
      <c r="K1165" s="4">
        <v>0.85563832521438599</v>
      </c>
      <c r="L1165" t="s">
        <v>336</v>
      </c>
      <c r="M1165">
        <v>9.8268284999999997E-2</v>
      </c>
      <c r="N1165" t="s">
        <v>337</v>
      </c>
      <c r="O1165">
        <v>7.0906189999999994E-2</v>
      </c>
      <c r="P1165" t="s">
        <v>259</v>
      </c>
      <c r="Q1165" s="4">
        <v>3.8481842999999988E-2</v>
      </c>
      <c r="R1165" t="s">
        <v>337</v>
      </c>
      <c r="S1165">
        <v>0.32452825000000002</v>
      </c>
      <c r="T1165" t="s">
        <v>259</v>
      </c>
      <c r="U1165">
        <v>0.29013473000000001</v>
      </c>
      <c r="V1165" t="s">
        <v>1501</v>
      </c>
      <c r="W1165">
        <v>7.4602630000000003E-2</v>
      </c>
    </row>
    <row r="1166" spans="1:23" x14ac:dyDescent="0.25">
      <c r="A1166" s="3" t="str">
        <f>HYPERLINK("http://ids.si.edu/ids/deliveryService?id=NMAH-ET2015-08849","NMAH-ET2015-08849")</f>
        <v>NMAH-ET2015-08849</v>
      </c>
      <c r="B1166" s="3" t="s">
        <v>2734</v>
      </c>
      <c r="C1166" s="3">
        <v>522907</v>
      </c>
      <c r="D1166" s="3" t="s">
        <v>1512</v>
      </c>
      <c r="E1166" s="4" t="s">
        <v>842</v>
      </c>
      <c r="F1166" t="s">
        <v>61</v>
      </c>
      <c r="G1166">
        <v>0.85248786211013794</v>
      </c>
      <c r="H1166" t="s">
        <v>441</v>
      </c>
      <c r="I1166">
        <v>0.84114664793014526</v>
      </c>
      <c r="J1166" t="s">
        <v>615</v>
      </c>
      <c r="K1166" s="4">
        <v>0.8200727105140686</v>
      </c>
      <c r="L1166" t="s">
        <v>571</v>
      </c>
      <c r="M1166">
        <v>0.36268866</v>
      </c>
      <c r="N1166" t="s">
        <v>426</v>
      </c>
      <c r="O1166">
        <v>3.9589208000000001E-2</v>
      </c>
      <c r="P1166" t="s">
        <v>516</v>
      </c>
      <c r="Q1166" s="4">
        <v>3.6552260000000003E-2</v>
      </c>
      <c r="R1166" t="s">
        <v>190</v>
      </c>
      <c r="S1166">
        <v>0.13166132999999999</v>
      </c>
      <c r="T1166" t="s">
        <v>31</v>
      </c>
      <c r="U1166">
        <v>8.6763450000000006E-2</v>
      </c>
      <c r="V1166" t="s">
        <v>183</v>
      </c>
      <c r="W1166">
        <v>6.517183E-2</v>
      </c>
    </row>
    <row r="1167" spans="1:23" x14ac:dyDescent="0.25">
      <c r="A1167" s="3" t="str">
        <f>HYPERLINK("http://ids.si.edu/ids/deliveryService?id=NMAH-AHB2017q021017","NMAH-AHB2017q021017")</f>
        <v>NMAH-AHB2017q021017</v>
      </c>
      <c r="B1167" s="3" t="s">
        <v>2735</v>
      </c>
      <c r="C1167" s="3">
        <v>1460006</v>
      </c>
      <c r="D1167" s="3" t="s">
        <v>1512</v>
      </c>
      <c r="E1167" s="4" t="s">
        <v>842</v>
      </c>
      <c r="F1167" t="s">
        <v>1254</v>
      </c>
      <c r="G1167">
        <v>0.70998769998550415</v>
      </c>
      <c r="H1167" t="s">
        <v>1224</v>
      </c>
      <c r="I1167">
        <v>0.66226369142532349</v>
      </c>
      <c r="J1167" t="s">
        <v>196</v>
      </c>
      <c r="K1167" s="4">
        <v>0.60097980499267578</v>
      </c>
      <c r="L1167" t="s">
        <v>303</v>
      </c>
      <c r="M1167">
        <v>0.43725625000000001</v>
      </c>
      <c r="N1167" t="s">
        <v>190</v>
      </c>
      <c r="O1167">
        <v>6.2919939999999994E-2</v>
      </c>
      <c r="P1167" t="s">
        <v>239</v>
      </c>
      <c r="Q1167" s="4">
        <v>5.5304814000000001E-2</v>
      </c>
      <c r="R1167" t="s">
        <v>190</v>
      </c>
      <c r="S1167">
        <v>0.40074145999999999</v>
      </c>
      <c r="T1167" t="s">
        <v>259</v>
      </c>
      <c r="U1167">
        <v>0.24379395000000001</v>
      </c>
      <c r="V1167" t="s">
        <v>303</v>
      </c>
      <c r="W1167">
        <v>0.14476417999999999</v>
      </c>
    </row>
    <row r="1168" spans="1:23" x14ac:dyDescent="0.25">
      <c r="A1168" s="3" t="str">
        <f>HYPERLINK("http://ids.si.edu/ids/deliveryService?id=NMAH-2004-15562","NMAH-2004-15562")</f>
        <v>NMAH-2004-15562</v>
      </c>
      <c r="B1168" s="3" t="s">
        <v>2736</v>
      </c>
      <c r="C1168" s="3">
        <v>739494</v>
      </c>
      <c r="D1168" s="3" t="s">
        <v>1512</v>
      </c>
      <c r="E1168" s="4" t="s">
        <v>1557</v>
      </c>
      <c r="F1168" t="s">
        <v>179</v>
      </c>
      <c r="G1168">
        <v>0.9212457537651062</v>
      </c>
      <c r="H1168" t="s">
        <v>178</v>
      </c>
      <c r="I1168">
        <v>0.89586108922958374</v>
      </c>
      <c r="J1168" t="s">
        <v>2737</v>
      </c>
      <c r="K1168" s="4">
        <v>0.76204866170883179</v>
      </c>
      <c r="L1168" t="s">
        <v>411</v>
      </c>
      <c r="M1168">
        <v>0.34469312000000002</v>
      </c>
      <c r="N1168" t="s">
        <v>893</v>
      </c>
      <c r="O1168">
        <v>0.11539543400000001</v>
      </c>
      <c r="P1168" t="s">
        <v>390</v>
      </c>
      <c r="Q1168" s="4">
        <v>9.376073E-2</v>
      </c>
      <c r="R1168" t="s">
        <v>893</v>
      </c>
      <c r="S1168">
        <v>0.37691727000000003</v>
      </c>
      <c r="T1168" t="s">
        <v>390</v>
      </c>
      <c r="U1168">
        <v>0.17848428</v>
      </c>
      <c r="V1168" t="s">
        <v>177</v>
      </c>
      <c r="W1168">
        <v>0.13530552000000001</v>
      </c>
    </row>
    <row r="1169" spans="1:23" x14ac:dyDescent="0.25">
      <c r="A1169" s="3" t="str">
        <f>HYPERLINK("http://ids.si.edu/ids/deliveryService?id=NMAH-ET2015-11583","NMAH-ET2015-11583")</f>
        <v>NMAH-ET2015-11583</v>
      </c>
      <c r="B1169" s="3" t="s">
        <v>2738</v>
      </c>
      <c r="C1169" s="3">
        <v>1179060</v>
      </c>
      <c r="D1169" s="3" t="s">
        <v>1512</v>
      </c>
      <c r="E1169" s="4" t="s">
        <v>125</v>
      </c>
      <c r="F1169" t="s">
        <v>61</v>
      </c>
      <c r="G1169">
        <v>0.94399338960647583</v>
      </c>
      <c r="H1169" t="s">
        <v>112</v>
      </c>
      <c r="I1169">
        <v>0.90149790048599243</v>
      </c>
      <c r="J1169" t="s">
        <v>91</v>
      </c>
      <c r="K1169" s="4">
        <v>0.88283330202102661</v>
      </c>
      <c r="L1169" t="s">
        <v>29</v>
      </c>
      <c r="M1169">
        <v>5.8696598000000003E-2</v>
      </c>
      <c r="N1169" t="s">
        <v>77</v>
      </c>
      <c r="O1169">
        <v>4.2778480000000001E-2</v>
      </c>
      <c r="P1169" t="s">
        <v>363</v>
      </c>
      <c r="Q1169" s="4">
        <v>3.5166256E-2</v>
      </c>
      <c r="R1169" t="s">
        <v>29</v>
      </c>
      <c r="S1169">
        <v>6.1730449999999999E-2</v>
      </c>
      <c r="T1169" t="s">
        <v>689</v>
      </c>
      <c r="U1169">
        <v>4.6974475999999987E-2</v>
      </c>
      <c r="V1169" t="s">
        <v>363</v>
      </c>
      <c r="W1169">
        <v>3.9596672999999999E-2</v>
      </c>
    </row>
    <row r="1170" spans="1:23" x14ac:dyDescent="0.25">
      <c r="A1170" s="3" t="str">
        <f>HYPERLINK("http://ids.si.edu/ids/deliveryService?id=NMAH-ET2016-02392","NMAH-ET2016-02392")</f>
        <v>NMAH-ET2016-02392</v>
      </c>
      <c r="B1170" s="3" t="s">
        <v>2739</v>
      </c>
      <c r="C1170" s="3">
        <v>501220</v>
      </c>
      <c r="D1170" s="3" t="s">
        <v>1512</v>
      </c>
      <c r="E1170" s="4" t="s">
        <v>2740</v>
      </c>
      <c r="F1170" t="s">
        <v>1495</v>
      </c>
      <c r="G1170">
        <v>0.53582215309143066</v>
      </c>
      <c r="H1170" t="s">
        <v>50</v>
      </c>
      <c r="I1170">
        <v>0.5114516019821167</v>
      </c>
      <c r="L1170" t="s">
        <v>560</v>
      </c>
      <c r="M1170">
        <v>0.18379165</v>
      </c>
      <c r="N1170" t="s">
        <v>1567</v>
      </c>
      <c r="O1170">
        <v>0.10759332000000001</v>
      </c>
      <c r="P1170" t="s">
        <v>83</v>
      </c>
      <c r="Q1170" s="4">
        <v>8.4123970000000006E-2</v>
      </c>
      <c r="R1170" t="s">
        <v>141</v>
      </c>
      <c r="S1170">
        <v>0.19240834000000001</v>
      </c>
      <c r="T1170" t="s">
        <v>175</v>
      </c>
      <c r="U1170">
        <v>5.6207550000000002E-2</v>
      </c>
      <c r="V1170" t="s">
        <v>389</v>
      </c>
      <c r="W1170">
        <v>4.3920460000000001E-2</v>
      </c>
    </row>
    <row r="1171" spans="1:23" x14ac:dyDescent="0.25">
      <c r="A1171" s="3" t="str">
        <f>HYPERLINK("http://ids.si.edu/ids/deliveryService?id=NMAH-RWS2012-04298","NMAH-RWS2012-04298")</f>
        <v>NMAH-RWS2012-04298</v>
      </c>
      <c r="B1171" s="3" t="s">
        <v>2741</v>
      </c>
      <c r="C1171" s="3">
        <v>1280863</v>
      </c>
      <c r="D1171" s="3" t="s">
        <v>1512</v>
      </c>
      <c r="E1171" s="4" t="s">
        <v>2742</v>
      </c>
      <c r="F1171" t="s">
        <v>2743</v>
      </c>
      <c r="G1171">
        <v>0.85195767879486084</v>
      </c>
      <c r="H1171" t="s">
        <v>1550</v>
      </c>
      <c r="I1171">
        <v>0.68468719720840454</v>
      </c>
      <c r="J1171" t="s">
        <v>2744</v>
      </c>
      <c r="K1171" s="4">
        <v>0.65911281108856201</v>
      </c>
      <c r="L1171" t="s">
        <v>443</v>
      </c>
      <c r="M1171">
        <v>0.95705532999999998</v>
      </c>
      <c r="N1171" t="s">
        <v>98</v>
      </c>
      <c r="O1171">
        <v>2.4219905999999999E-2</v>
      </c>
      <c r="P1171" t="s">
        <v>83</v>
      </c>
      <c r="Q1171" s="4">
        <v>4.1688573999999999E-3</v>
      </c>
      <c r="R1171" t="s">
        <v>443</v>
      </c>
      <c r="S1171">
        <v>0.46622834000000002</v>
      </c>
      <c r="T1171" t="s">
        <v>1416</v>
      </c>
      <c r="U1171">
        <v>7.5115950000000001E-2</v>
      </c>
      <c r="V1171" t="s">
        <v>175</v>
      </c>
      <c r="W1171">
        <v>5.6172504999999998E-2</v>
      </c>
    </row>
    <row r="1172" spans="1:23" x14ac:dyDescent="0.25">
      <c r="A1172" s="3" t="str">
        <f>HYPERLINK("http://ids.si.edu/ids/deliveryService?id=NMAH-ET2016-04905","NMAH-ET2016-04905")</f>
        <v>NMAH-ET2016-04905</v>
      </c>
      <c r="B1172" s="3" t="s">
        <v>2745</v>
      </c>
      <c r="C1172" s="3">
        <v>515412</v>
      </c>
      <c r="D1172" s="3" t="s">
        <v>1512</v>
      </c>
      <c r="E1172" s="4" t="s">
        <v>2746</v>
      </c>
      <c r="F1172" t="s">
        <v>264</v>
      </c>
      <c r="G1172">
        <v>0.83276057243347168</v>
      </c>
      <c r="H1172" t="s">
        <v>728</v>
      </c>
      <c r="I1172">
        <v>0.79841947555541992</v>
      </c>
      <c r="J1172" t="s">
        <v>2747</v>
      </c>
      <c r="K1172" s="4">
        <v>0.76707476377487183</v>
      </c>
      <c r="L1172" t="s">
        <v>79</v>
      </c>
      <c r="M1172">
        <v>0.27017187999999998</v>
      </c>
      <c r="N1172" t="s">
        <v>65</v>
      </c>
      <c r="O1172">
        <v>0.18487165999999999</v>
      </c>
      <c r="P1172" t="s">
        <v>42</v>
      </c>
      <c r="Q1172" s="4">
        <v>8.0684006000000003E-2</v>
      </c>
      <c r="R1172" t="s">
        <v>66</v>
      </c>
      <c r="S1172">
        <v>0.36998900000000001</v>
      </c>
      <c r="T1172" t="s">
        <v>65</v>
      </c>
      <c r="U1172">
        <v>0.17773900000000001</v>
      </c>
      <c r="V1172" t="s">
        <v>426</v>
      </c>
      <c r="W1172">
        <v>0.14228873</v>
      </c>
    </row>
    <row r="1173" spans="1:23" x14ac:dyDescent="0.25">
      <c r="A1173" s="3" t="str">
        <f>HYPERLINK("http://ids.si.edu/ids/deliveryService?id=NMAH-ET2016-12157","NMAH-ET2016-12157")</f>
        <v>NMAH-ET2016-12157</v>
      </c>
      <c r="B1173" s="3" t="s">
        <v>2748</v>
      </c>
      <c r="C1173" s="3">
        <v>491821</v>
      </c>
      <c r="D1173" s="3" t="s">
        <v>1512</v>
      </c>
      <c r="E1173" s="4" t="s">
        <v>2749</v>
      </c>
      <c r="F1173" t="s">
        <v>147</v>
      </c>
      <c r="G1173">
        <v>0.76257520914077759</v>
      </c>
      <c r="H1173" t="s">
        <v>50</v>
      </c>
      <c r="I1173">
        <v>0.60706108808517456</v>
      </c>
      <c r="L1173" t="s">
        <v>45</v>
      </c>
      <c r="M1173">
        <v>0.65807974000000002</v>
      </c>
      <c r="N1173" t="s">
        <v>1454</v>
      </c>
      <c r="O1173">
        <v>8.8238639999999993E-2</v>
      </c>
      <c r="P1173" t="s">
        <v>148</v>
      </c>
      <c r="Q1173" s="4">
        <v>2.0336116000000001E-2</v>
      </c>
      <c r="R1173" t="s">
        <v>261</v>
      </c>
      <c r="S1173">
        <v>0.33487280000000003</v>
      </c>
      <c r="T1173" t="s">
        <v>151</v>
      </c>
      <c r="U1173">
        <v>0.17142070000000001</v>
      </c>
      <c r="V1173" t="s">
        <v>443</v>
      </c>
      <c r="W1173">
        <v>6.3196530000000001E-2</v>
      </c>
    </row>
    <row r="1174" spans="1:23" x14ac:dyDescent="0.25">
      <c r="A1174" s="3" t="str">
        <f>HYPERLINK("http://ids.si.edu/ids/deliveryService?id=NMAH-87-13107","NMAH-87-13107")</f>
        <v>NMAH-87-13107</v>
      </c>
      <c r="B1174" s="3" t="s">
        <v>2750</v>
      </c>
      <c r="C1174" s="3">
        <v>538122</v>
      </c>
      <c r="D1174" s="3" t="s">
        <v>1512</v>
      </c>
      <c r="E1174" s="4" t="s">
        <v>125</v>
      </c>
      <c r="F1174" t="s">
        <v>126</v>
      </c>
      <c r="G1174">
        <v>0.92563092708587646</v>
      </c>
      <c r="H1174" t="s">
        <v>2751</v>
      </c>
      <c r="I1174">
        <v>0.6143307089805603</v>
      </c>
      <c r="J1174" t="s">
        <v>742</v>
      </c>
      <c r="K1174" s="4">
        <v>0.54570472240447998</v>
      </c>
      <c r="L1174" t="s">
        <v>65</v>
      </c>
      <c r="M1174">
        <v>0.87702900000000006</v>
      </c>
      <c r="N1174" t="s">
        <v>129</v>
      </c>
      <c r="O1174">
        <v>0.109775886</v>
      </c>
      <c r="P1174" t="s">
        <v>144</v>
      </c>
      <c r="Q1174" s="4">
        <v>6.0748569999999986E-3</v>
      </c>
      <c r="R1174" t="s">
        <v>29</v>
      </c>
      <c r="S1174">
        <v>0.55308180000000007</v>
      </c>
      <c r="T1174" t="s">
        <v>65</v>
      </c>
      <c r="U1174">
        <v>0.23693453</v>
      </c>
      <c r="V1174" t="s">
        <v>129</v>
      </c>
      <c r="W1174">
        <v>0.11431276999999999</v>
      </c>
    </row>
    <row r="1175" spans="1:23" x14ac:dyDescent="0.25">
      <c r="A1175" s="3" t="str">
        <f>HYPERLINK("http://ids.si.edu/ids/deliveryService?id=NMAH-AHB2014q013146","NMAH-AHB2014q013146")</f>
        <v>NMAH-AHB2014q013146</v>
      </c>
      <c r="B1175" s="3" t="s">
        <v>2752</v>
      </c>
      <c r="C1175" s="3">
        <v>520301</v>
      </c>
      <c r="D1175" s="3" t="s">
        <v>1512</v>
      </c>
      <c r="E1175" s="4" t="s">
        <v>1569</v>
      </c>
      <c r="F1175" t="s">
        <v>61</v>
      </c>
      <c r="G1175">
        <v>0.95564025640487671</v>
      </c>
      <c r="H1175" t="s">
        <v>112</v>
      </c>
      <c r="I1175">
        <v>0.68572378158569336</v>
      </c>
      <c r="J1175" t="s">
        <v>111</v>
      </c>
      <c r="K1175" s="4">
        <v>0.58408588171005249</v>
      </c>
      <c r="L1175" t="s">
        <v>29</v>
      </c>
      <c r="M1175">
        <v>0.35539535</v>
      </c>
      <c r="N1175" t="s">
        <v>65</v>
      </c>
      <c r="O1175">
        <v>0.15960460000000001</v>
      </c>
      <c r="P1175" t="s">
        <v>77</v>
      </c>
      <c r="Q1175" s="4">
        <v>5.8814499999999999E-2</v>
      </c>
      <c r="R1175" t="s">
        <v>77</v>
      </c>
      <c r="S1175">
        <v>0.39147042999999998</v>
      </c>
      <c r="T1175" t="s">
        <v>426</v>
      </c>
      <c r="U1175">
        <v>0.21971943999999999</v>
      </c>
      <c r="V1175" t="s">
        <v>65</v>
      </c>
      <c r="W1175">
        <v>7.8461219999999998E-2</v>
      </c>
    </row>
    <row r="1176" spans="1:23" x14ac:dyDescent="0.25">
      <c r="A1176" s="3" t="str">
        <f>HYPERLINK("http://ids.si.edu/ids/deliveryService?id=NMAH-AHB2013q013040-000001","NMAH-AHB2013q013040-000001")</f>
        <v>NMAH-AHB2013q013040-000001</v>
      </c>
      <c r="B1176" s="3" t="s">
        <v>2753</v>
      </c>
      <c r="C1176" s="3">
        <v>529905</v>
      </c>
      <c r="D1176" s="3" t="s">
        <v>1512</v>
      </c>
      <c r="E1176" s="4" t="s">
        <v>842</v>
      </c>
      <c r="F1176" t="s">
        <v>132</v>
      </c>
      <c r="G1176">
        <v>0.91819667816162109</v>
      </c>
      <c r="H1176" t="s">
        <v>2754</v>
      </c>
      <c r="I1176">
        <v>0.89586114883422852</v>
      </c>
      <c r="J1176" t="s">
        <v>2755</v>
      </c>
      <c r="K1176" s="4">
        <v>0.68234884738922119</v>
      </c>
      <c r="L1176" t="s">
        <v>813</v>
      </c>
      <c r="M1176">
        <v>0.58951519999999991</v>
      </c>
      <c r="N1176" t="s">
        <v>190</v>
      </c>
      <c r="O1176">
        <v>0.14836413000000001</v>
      </c>
      <c r="P1176" t="s">
        <v>1521</v>
      </c>
      <c r="Q1176" s="4">
        <v>1.530191E-2</v>
      </c>
      <c r="R1176" t="s">
        <v>190</v>
      </c>
      <c r="S1176">
        <v>0.2449836</v>
      </c>
      <c r="T1176" t="s">
        <v>303</v>
      </c>
      <c r="U1176">
        <v>0.16461055999999999</v>
      </c>
      <c r="V1176" t="s">
        <v>813</v>
      </c>
      <c r="W1176">
        <v>0.16010603000000001</v>
      </c>
    </row>
    <row r="1177" spans="1:23" x14ac:dyDescent="0.25">
      <c r="A1177" s="3" t="str">
        <f>HYPERLINK("http://ids.si.edu/ids/deliveryService?id=SIA-93-12714","SIA-93-12714")</f>
        <v>SIA-93-12714</v>
      </c>
      <c r="B1177" s="3" t="s">
        <v>2756</v>
      </c>
      <c r="C1177" s="3">
        <v>524359</v>
      </c>
      <c r="D1177" s="3" t="s">
        <v>1512</v>
      </c>
      <c r="E1177" s="4" t="s">
        <v>1642</v>
      </c>
      <c r="F1177" t="s">
        <v>454</v>
      </c>
      <c r="G1177">
        <v>0.96095150709152222</v>
      </c>
      <c r="H1177" t="s">
        <v>662</v>
      </c>
      <c r="I1177">
        <v>0.93129086494445801</v>
      </c>
      <c r="J1177" t="s">
        <v>505</v>
      </c>
      <c r="K1177" s="4">
        <v>0.92737209796905518</v>
      </c>
      <c r="L1177" t="s">
        <v>97</v>
      </c>
      <c r="M1177">
        <v>0.44135010000000002</v>
      </c>
      <c r="N1177" t="s">
        <v>202</v>
      </c>
      <c r="O1177">
        <v>0.37093451999999999</v>
      </c>
      <c r="P1177" t="s">
        <v>336</v>
      </c>
      <c r="Q1177" s="4">
        <v>1.7734435999999999E-2</v>
      </c>
      <c r="R1177" t="s">
        <v>202</v>
      </c>
      <c r="S1177">
        <v>0.5895939</v>
      </c>
      <c r="T1177" t="s">
        <v>203</v>
      </c>
      <c r="U1177">
        <v>0.33910170000000001</v>
      </c>
      <c r="V1177" t="s">
        <v>2757</v>
      </c>
      <c r="W1177">
        <v>1.1315264E-2</v>
      </c>
    </row>
    <row r="1178" spans="1:23" x14ac:dyDescent="0.25">
      <c r="A1178" s="3" t="str">
        <f>HYPERLINK("http://ids.si.edu/ids/deliveryService?id=NMAH-ET2015-08847","NMAH-ET2015-08847")</f>
        <v>NMAH-ET2015-08847</v>
      </c>
      <c r="B1178" s="3" t="s">
        <v>2758</v>
      </c>
      <c r="C1178" s="3">
        <v>522745</v>
      </c>
      <c r="D1178" s="3" t="s">
        <v>1512</v>
      </c>
      <c r="E1178" s="4" t="s">
        <v>2759</v>
      </c>
      <c r="F1178" t="s">
        <v>112</v>
      </c>
      <c r="G1178">
        <v>0.68572378158569336</v>
      </c>
      <c r="H1178" t="s">
        <v>196</v>
      </c>
      <c r="I1178">
        <v>0.53274393081665039</v>
      </c>
      <c r="J1178" t="s">
        <v>728</v>
      </c>
      <c r="K1178" s="4">
        <v>0.51115065813064575</v>
      </c>
      <c r="L1178" t="s">
        <v>183</v>
      </c>
      <c r="M1178">
        <v>0.22448162999999999</v>
      </c>
      <c r="N1178" t="s">
        <v>66</v>
      </c>
      <c r="O1178">
        <v>0.17728262</v>
      </c>
      <c r="P1178" t="s">
        <v>79</v>
      </c>
      <c r="Q1178" s="4">
        <v>0.13505020000000001</v>
      </c>
      <c r="R1178" t="s">
        <v>183</v>
      </c>
      <c r="S1178">
        <v>0.42296426999999998</v>
      </c>
      <c r="T1178" t="s">
        <v>369</v>
      </c>
      <c r="U1178">
        <v>0.119552955</v>
      </c>
      <c r="V1178" t="s">
        <v>444</v>
      </c>
      <c r="W1178">
        <v>4.3135010000000001E-2</v>
      </c>
    </row>
    <row r="1179" spans="1:23" x14ac:dyDescent="0.25">
      <c r="A1179" s="3" t="str">
        <f>HYPERLINK("http://ids.si.edu/ids/deliveryService?id=NMAH-ET2014-40907-000001","NMAH-ET2014-40907-000001")</f>
        <v>NMAH-ET2014-40907-000001</v>
      </c>
      <c r="B1179" s="3" t="s">
        <v>2760</v>
      </c>
      <c r="C1179" s="3">
        <v>527566</v>
      </c>
      <c r="D1179" s="3" t="s">
        <v>1512</v>
      </c>
      <c r="E1179" s="4" t="s">
        <v>248</v>
      </c>
      <c r="F1179" t="s">
        <v>49</v>
      </c>
      <c r="G1179">
        <v>0.75873160362243652</v>
      </c>
      <c r="H1179" t="s">
        <v>415</v>
      </c>
      <c r="I1179">
        <v>0.75188261270523071</v>
      </c>
      <c r="J1179" t="s">
        <v>50</v>
      </c>
      <c r="K1179" s="4">
        <v>0.69359874725341797</v>
      </c>
      <c r="L1179" t="s">
        <v>1093</v>
      </c>
      <c r="M1179">
        <v>0.22353269000000001</v>
      </c>
      <c r="N1179" t="s">
        <v>87</v>
      </c>
      <c r="O1179">
        <v>0.16266600000000001</v>
      </c>
      <c r="P1179" t="s">
        <v>106</v>
      </c>
      <c r="Q1179" s="4">
        <v>9.4990246E-2</v>
      </c>
      <c r="R1179" t="s">
        <v>106</v>
      </c>
      <c r="S1179">
        <v>0.19960021999999999</v>
      </c>
      <c r="T1179" t="s">
        <v>87</v>
      </c>
      <c r="U1179">
        <v>0.18858917</v>
      </c>
      <c r="V1179" t="s">
        <v>259</v>
      </c>
      <c r="W1179">
        <v>0.15802994000000001</v>
      </c>
    </row>
    <row r="1180" spans="1:23" x14ac:dyDescent="0.25">
      <c r="A1180" s="3" t="str">
        <f>HYPERLINK("http://ids.si.edu/ids/deliveryService?id=NMAH-ET2017-11869-000001","NMAH-ET2017-11869-000001")</f>
        <v>NMAH-ET2017-11869-000001</v>
      </c>
      <c r="B1180" s="3" t="s">
        <v>2761</v>
      </c>
      <c r="C1180" s="3">
        <v>501159</v>
      </c>
      <c r="D1180" s="3" t="s">
        <v>1512</v>
      </c>
      <c r="E1180" s="4" t="s">
        <v>309</v>
      </c>
      <c r="F1180" t="s">
        <v>49</v>
      </c>
      <c r="G1180">
        <v>0.7500341534614563</v>
      </c>
      <c r="H1180" t="s">
        <v>415</v>
      </c>
      <c r="I1180">
        <v>0.74266338348388672</v>
      </c>
      <c r="J1180" t="s">
        <v>50</v>
      </c>
      <c r="K1180" s="4">
        <v>0.7381446361541748</v>
      </c>
      <c r="L1180" t="s">
        <v>338</v>
      </c>
      <c r="M1180">
        <v>0.15637999999999999</v>
      </c>
      <c r="N1180" t="s">
        <v>369</v>
      </c>
      <c r="O1180">
        <v>6.1079649999999999E-2</v>
      </c>
      <c r="P1180" t="s">
        <v>183</v>
      </c>
      <c r="Q1180" s="4">
        <v>5.3297485999999998E-2</v>
      </c>
      <c r="R1180" t="s">
        <v>261</v>
      </c>
      <c r="S1180">
        <v>0.106161386</v>
      </c>
      <c r="T1180" t="s">
        <v>239</v>
      </c>
      <c r="U1180">
        <v>6.0795879999999997E-2</v>
      </c>
      <c r="V1180" t="s">
        <v>369</v>
      </c>
      <c r="W1180">
        <v>4.3084839999999999E-2</v>
      </c>
    </row>
    <row r="1181" spans="1:23" x14ac:dyDescent="0.25">
      <c r="A1181" s="3" t="str">
        <f>HYPERLINK("http://ids.si.edu/ids/deliveryService?id=NMAH-2008-5445","NMAH-2008-5445")</f>
        <v>NMAH-2008-5445</v>
      </c>
      <c r="B1181" s="3" t="s">
        <v>2762</v>
      </c>
      <c r="C1181" s="3">
        <v>513431</v>
      </c>
      <c r="D1181" s="3" t="s">
        <v>1512</v>
      </c>
      <c r="E1181" s="4" t="s">
        <v>2763</v>
      </c>
      <c r="F1181" t="s">
        <v>38</v>
      </c>
      <c r="G1181">
        <v>0.68207275867462158</v>
      </c>
      <c r="H1181" t="s">
        <v>256</v>
      </c>
      <c r="I1181">
        <v>0.59585320949554443</v>
      </c>
      <c r="J1181" t="s">
        <v>2764</v>
      </c>
      <c r="K1181" s="4">
        <v>0.57991629838943481</v>
      </c>
      <c r="L1181" t="s">
        <v>397</v>
      </c>
      <c r="M1181">
        <v>0.23523995</v>
      </c>
      <c r="N1181" t="s">
        <v>87</v>
      </c>
      <c r="O1181">
        <v>0.20579763000000001</v>
      </c>
      <c r="P1181" t="s">
        <v>52</v>
      </c>
      <c r="Q1181" s="4">
        <v>0.12093974</v>
      </c>
      <c r="R1181" t="s">
        <v>389</v>
      </c>
      <c r="S1181">
        <v>0.1794579</v>
      </c>
      <c r="T1181" t="s">
        <v>151</v>
      </c>
      <c r="U1181">
        <v>0.1736192</v>
      </c>
      <c r="V1181" t="s">
        <v>83</v>
      </c>
      <c r="W1181">
        <v>0.120109946</v>
      </c>
    </row>
    <row r="1182" spans="1:23" x14ac:dyDescent="0.25">
      <c r="A1182" s="3" t="str">
        <f>HYPERLINK("http://ids.si.edu/ids/deliveryService?id=NMAH-ET2016-07029","NMAH-ET2016-07029")</f>
        <v>NMAH-ET2016-07029</v>
      </c>
      <c r="B1182" s="3" t="s">
        <v>2765</v>
      </c>
      <c r="C1182" s="3">
        <v>492336</v>
      </c>
      <c r="D1182" s="3" t="s">
        <v>1512</v>
      </c>
      <c r="E1182" s="4" t="s">
        <v>2766</v>
      </c>
      <c r="F1182" t="s">
        <v>292</v>
      </c>
      <c r="G1182">
        <v>0.92450851202011108</v>
      </c>
      <c r="H1182" t="s">
        <v>1191</v>
      </c>
      <c r="I1182">
        <v>0.89376568794250488</v>
      </c>
      <c r="J1182" t="s">
        <v>1677</v>
      </c>
      <c r="K1182" s="4">
        <v>0.74336874485015869</v>
      </c>
      <c r="L1182" t="s">
        <v>78</v>
      </c>
      <c r="M1182">
        <v>0.93212039999999996</v>
      </c>
      <c r="N1182" t="s">
        <v>157</v>
      </c>
      <c r="O1182">
        <v>1.2658822E-2</v>
      </c>
      <c r="P1182" t="s">
        <v>277</v>
      </c>
      <c r="Q1182" s="4">
        <v>1.1091096999999999E-2</v>
      </c>
      <c r="R1182" t="s">
        <v>78</v>
      </c>
      <c r="S1182">
        <v>0.97251980000000005</v>
      </c>
      <c r="T1182" t="s">
        <v>277</v>
      </c>
      <c r="U1182">
        <v>2.3789761999999999E-2</v>
      </c>
      <c r="V1182" t="s">
        <v>2767</v>
      </c>
      <c r="W1182">
        <v>5.0278177000000006E-4</v>
      </c>
    </row>
    <row r="1183" spans="1:23" x14ac:dyDescent="0.25">
      <c r="A1183" s="3" t="str">
        <f>HYPERLINK("http://ids.si.edu/ids/deliveryService?id=NMAH-ET2016-08779-000002","NMAH-ET2016-08779-000002")</f>
        <v>NMAH-ET2016-08779-000002</v>
      </c>
      <c r="B1183" s="3" t="s">
        <v>2768</v>
      </c>
      <c r="C1183" s="3">
        <v>529831</v>
      </c>
      <c r="D1183" s="3" t="s">
        <v>1512</v>
      </c>
      <c r="E1183" s="4" t="s">
        <v>2769</v>
      </c>
      <c r="F1183" t="s">
        <v>697</v>
      </c>
      <c r="G1183">
        <v>0.98647421598434448</v>
      </c>
      <c r="H1183" t="s">
        <v>699</v>
      </c>
      <c r="I1183">
        <v>0.93223327398300171</v>
      </c>
      <c r="J1183" t="s">
        <v>91</v>
      </c>
      <c r="K1183" s="4">
        <v>0.88283330202102661</v>
      </c>
      <c r="L1183" t="s">
        <v>700</v>
      </c>
      <c r="M1183">
        <v>0.34018382000000003</v>
      </c>
      <c r="N1183" t="s">
        <v>2415</v>
      </c>
      <c r="O1183">
        <v>0.12707025999999999</v>
      </c>
      <c r="P1183" t="s">
        <v>1627</v>
      </c>
      <c r="Q1183" s="4">
        <v>0.10009897500000001</v>
      </c>
      <c r="R1183" t="s">
        <v>700</v>
      </c>
      <c r="S1183">
        <v>0.41606884999999999</v>
      </c>
      <c r="T1183" t="s">
        <v>41</v>
      </c>
      <c r="U1183">
        <v>0.27077422000000001</v>
      </c>
      <c r="V1183" t="s">
        <v>701</v>
      </c>
      <c r="W1183">
        <v>4.795278E-2</v>
      </c>
    </row>
    <row r="1184" spans="1:23" x14ac:dyDescent="0.25">
      <c r="A1184" s="3" t="str">
        <f>HYPERLINK("http://ids.si.edu/ids/deliveryService?id=NMAH-AHB2017q021216","NMAH-AHB2017q021216")</f>
        <v>NMAH-AHB2017q021216</v>
      </c>
      <c r="B1184" s="3" t="s">
        <v>2770</v>
      </c>
      <c r="C1184" s="3">
        <v>491726</v>
      </c>
      <c r="D1184" s="3" t="s">
        <v>1512</v>
      </c>
      <c r="E1184" s="4" t="s">
        <v>2771</v>
      </c>
      <c r="F1184" t="s">
        <v>1224</v>
      </c>
      <c r="G1184">
        <v>0.75233191251754761</v>
      </c>
      <c r="H1184" t="s">
        <v>1538</v>
      </c>
      <c r="I1184">
        <v>0.73725777864456177</v>
      </c>
      <c r="J1184" t="s">
        <v>195</v>
      </c>
      <c r="K1184" s="4">
        <v>0.73025673627853394</v>
      </c>
      <c r="L1184" t="s">
        <v>303</v>
      </c>
      <c r="M1184">
        <v>0.54480885999999995</v>
      </c>
      <c r="N1184" t="s">
        <v>369</v>
      </c>
      <c r="O1184">
        <v>0.28114653000000001</v>
      </c>
      <c r="P1184" t="s">
        <v>969</v>
      </c>
      <c r="Q1184" s="4">
        <v>8.6388259999999994E-2</v>
      </c>
      <c r="R1184" t="s">
        <v>303</v>
      </c>
      <c r="S1184">
        <v>0.33551920000000002</v>
      </c>
      <c r="T1184" t="s">
        <v>969</v>
      </c>
      <c r="U1184">
        <v>0.29416189999999998</v>
      </c>
      <c r="V1184" t="s">
        <v>813</v>
      </c>
      <c r="W1184">
        <v>9.0450290000000003E-2</v>
      </c>
    </row>
    <row r="1185" spans="1:23" x14ac:dyDescent="0.25">
      <c r="A1185" s="3" t="str">
        <f>HYPERLINK("http://ids.si.edu/ids/deliveryService?id=NMAH-ET2017-11913-000001","NMAH-ET2017-11913-000001")</f>
        <v>NMAH-ET2017-11913-000001</v>
      </c>
      <c r="B1185" s="3" t="s">
        <v>2772</v>
      </c>
      <c r="C1185" s="3">
        <v>516172</v>
      </c>
      <c r="D1185" s="3" t="s">
        <v>1512</v>
      </c>
      <c r="E1185" s="4" t="s">
        <v>336</v>
      </c>
      <c r="F1185" t="s">
        <v>50</v>
      </c>
      <c r="G1185">
        <v>0.69359874725341797</v>
      </c>
      <c r="H1185" t="s">
        <v>112</v>
      </c>
      <c r="I1185">
        <v>0.68572378158569336</v>
      </c>
      <c r="J1185" t="s">
        <v>1463</v>
      </c>
      <c r="K1185" s="4">
        <v>0.67024773359298706</v>
      </c>
      <c r="L1185" t="s">
        <v>183</v>
      </c>
      <c r="M1185">
        <v>0.20832622000000001</v>
      </c>
      <c r="N1185" t="s">
        <v>148</v>
      </c>
      <c r="O1185">
        <v>0.1652527</v>
      </c>
      <c r="P1185" t="s">
        <v>369</v>
      </c>
      <c r="Q1185" s="4">
        <v>0.105926864</v>
      </c>
      <c r="R1185" t="s">
        <v>336</v>
      </c>
      <c r="S1185">
        <v>0.10938916</v>
      </c>
      <c r="T1185" t="s">
        <v>95</v>
      </c>
      <c r="U1185">
        <v>5.6136384999999997E-2</v>
      </c>
      <c r="V1185" t="s">
        <v>444</v>
      </c>
      <c r="W1185">
        <v>5.2319329999999997E-2</v>
      </c>
    </row>
    <row r="1186" spans="1:23" x14ac:dyDescent="0.25">
      <c r="A1186" s="3" t="str">
        <f>HYPERLINK("http://ids.si.edu/ids/deliveryService?id=NMAH-AHB2014q013138","NMAH-AHB2014q013138")</f>
        <v>NMAH-AHB2014q013138</v>
      </c>
      <c r="B1186" s="3" t="s">
        <v>2773</v>
      </c>
      <c r="C1186" s="3">
        <v>1332501</v>
      </c>
      <c r="D1186" s="3" t="s">
        <v>1512</v>
      </c>
      <c r="E1186" s="4" t="s">
        <v>1647</v>
      </c>
      <c r="F1186" t="s">
        <v>60</v>
      </c>
      <c r="G1186">
        <v>0.97171288728713989</v>
      </c>
      <c r="H1186" t="s">
        <v>2774</v>
      </c>
      <c r="I1186">
        <v>0.97054624557495117</v>
      </c>
      <c r="J1186" t="s">
        <v>428</v>
      </c>
      <c r="K1186" s="4">
        <v>0.82509654760360718</v>
      </c>
      <c r="L1186" t="s">
        <v>29</v>
      </c>
      <c r="M1186">
        <v>0.29861608000000001</v>
      </c>
      <c r="N1186" t="s">
        <v>1972</v>
      </c>
      <c r="O1186">
        <v>0.111602984</v>
      </c>
      <c r="P1186" t="s">
        <v>65</v>
      </c>
      <c r="Q1186" s="4">
        <v>8.8450570000000006E-2</v>
      </c>
      <c r="R1186" t="s">
        <v>29</v>
      </c>
      <c r="S1186">
        <v>0.33702072999999999</v>
      </c>
      <c r="T1186" t="s">
        <v>144</v>
      </c>
      <c r="U1186">
        <v>0.19035679</v>
      </c>
      <c r="V1186" t="s">
        <v>65</v>
      </c>
      <c r="W1186">
        <v>0.10813204999999999</v>
      </c>
    </row>
    <row r="1187" spans="1:23" x14ac:dyDescent="0.25">
      <c r="A1187" s="3" t="str">
        <f>HYPERLINK("http://ids.si.edu/ids/deliveryService?id=NMAH-RWS2011-00880","NMAH-RWS2011-00880")</f>
        <v>NMAH-RWS2011-00880</v>
      </c>
      <c r="B1187" s="3" t="s">
        <v>2775</v>
      </c>
      <c r="C1187" s="3">
        <v>1170375</v>
      </c>
      <c r="D1187" s="3" t="s">
        <v>1512</v>
      </c>
      <c r="E1187" s="4" t="s">
        <v>125</v>
      </c>
      <c r="F1187" t="s">
        <v>112</v>
      </c>
      <c r="G1187">
        <v>0.95941632986068726</v>
      </c>
      <c r="H1187" t="s">
        <v>61</v>
      </c>
      <c r="I1187">
        <v>0.94493740797042847</v>
      </c>
      <c r="J1187" t="s">
        <v>1586</v>
      </c>
      <c r="K1187" s="4">
        <v>0.64939796924591064</v>
      </c>
      <c r="L1187" t="s">
        <v>405</v>
      </c>
      <c r="M1187">
        <v>0.34146135999999999</v>
      </c>
      <c r="N1187" t="s">
        <v>65</v>
      </c>
      <c r="O1187">
        <v>0.13192624</v>
      </c>
      <c r="P1187" t="s">
        <v>209</v>
      </c>
      <c r="Q1187" s="4">
        <v>6.6353750000000003E-2</v>
      </c>
      <c r="R1187" t="s">
        <v>405</v>
      </c>
      <c r="S1187">
        <v>0.23900647</v>
      </c>
      <c r="T1187" t="s">
        <v>65</v>
      </c>
      <c r="U1187">
        <v>8.2627149999999996E-2</v>
      </c>
      <c r="V1187" t="s">
        <v>782</v>
      </c>
      <c r="W1187">
        <v>3.7833255000000003E-2</v>
      </c>
    </row>
    <row r="1188" spans="1:23" x14ac:dyDescent="0.25">
      <c r="A1188" s="3" t="str">
        <f>HYPERLINK("http://ids.si.edu/ids/deliveryService?id=NMAH-JN2014-4083","NMAH-JN2014-4083")</f>
        <v>NMAH-JN2014-4083</v>
      </c>
      <c r="B1188" s="3" t="s">
        <v>2776</v>
      </c>
      <c r="C1188" s="3">
        <v>1280860</v>
      </c>
      <c r="D1188" s="3" t="s">
        <v>1512</v>
      </c>
      <c r="E1188" s="4" t="s">
        <v>2777</v>
      </c>
      <c r="F1188" t="s">
        <v>340</v>
      </c>
      <c r="G1188">
        <v>0.97785407304763794</v>
      </c>
      <c r="H1188" t="s">
        <v>61</v>
      </c>
      <c r="I1188">
        <v>0.97762840986251831</v>
      </c>
      <c r="J1188" t="s">
        <v>736</v>
      </c>
      <c r="K1188" s="4">
        <v>0.96917724609375</v>
      </c>
      <c r="L1188" t="s">
        <v>370</v>
      </c>
      <c r="M1188">
        <v>0.61667359999999993</v>
      </c>
      <c r="N1188" t="s">
        <v>151</v>
      </c>
      <c r="O1188">
        <v>0.20264183999999999</v>
      </c>
      <c r="P1188" t="s">
        <v>554</v>
      </c>
      <c r="Q1188" s="4">
        <v>4.5712292000000002E-2</v>
      </c>
      <c r="R1188" t="s">
        <v>151</v>
      </c>
      <c r="S1188">
        <v>0.22625358000000001</v>
      </c>
      <c r="T1188" t="s">
        <v>495</v>
      </c>
      <c r="U1188">
        <v>0.19065312000000001</v>
      </c>
      <c r="V1188" t="s">
        <v>370</v>
      </c>
      <c r="W1188">
        <v>0.13360298000000001</v>
      </c>
    </row>
    <row r="1189" spans="1:23" x14ac:dyDescent="0.25">
      <c r="A1189" s="3" t="str">
        <f>HYPERLINK("http://ids.si.edu/ids/deliveryService?id=NMAH-RWS2012-04272","NMAH-RWS2012-04272")</f>
        <v>NMAH-RWS2012-04272</v>
      </c>
      <c r="B1189" s="3" t="s">
        <v>2778</v>
      </c>
      <c r="C1189" s="3">
        <v>492499</v>
      </c>
      <c r="D1189" s="3" t="s">
        <v>1512</v>
      </c>
      <c r="E1189" s="4" t="s">
        <v>2779</v>
      </c>
      <c r="F1189" t="s">
        <v>505</v>
      </c>
      <c r="G1189">
        <v>0.9740980863571167</v>
      </c>
      <c r="H1189" t="s">
        <v>819</v>
      </c>
      <c r="I1189">
        <v>0.97253191471099854</v>
      </c>
      <c r="J1189" t="s">
        <v>506</v>
      </c>
      <c r="K1189" s="4">
        <v>0.94450044631958008</v>
      </c>
      <c r="L1189" t="s">
        <v>411</v>
      </c>
      <c r="M1189">
        <v>0.73629730000000004</v>
      </c>
      <c r="N1189" t="s">
        <v>804</v>
      </c>
      <c r="O1189">
        <v>4.530526E-2</v>
      </c>
      <c r="P1189" t="s">
        <v>313</v>
      </c>
      <c r="Q1189" s="4">
        <v>4.3793886999999997E-2</v>
      </c>
      <c r="R1189" t="s">
        <v>411</v>
      </c>
      <c r="S1189">
        <v>0.87029003999999999</v>
      </c>
      <c r="T1189" t="s">
        <v>2208</v>
      </c>
      <c r="U1189">
        <v>2.6601605E-2</v>
      </c>
      <c r="V1189" t="s">
        <v>2780</v>
      </c>
      <c r="W1189">
        <v>7.9079059999999993E-3</v>
      </c>
    </row>
    <row r="1190" spans="1:23" x14ac:dyDescent="0.25">
      <c r="A1190" s="3" t="str">
        <f>HYPERLINK("http://ids.si.edu/ids/deliveryService?id=NMAH-ET2015-20046","NMAH-ET2015-20046")</f>
        <v>NMAH-ET2015-20046</v>
      </c>
      <c r="B1190" s="3" t="s">
        <v>2781</v>
      </c>
      <c r="C1190" s="3">
        <v>523000</v>
      </c>
      <c r="D1190" s="3" t="s">
        <v>1512</v>
      </c>
      <c r="E1190" s="4" t="s">
        <v>842</v>
      </c>
      <c r="F1190" t="s">
        <v>1224</v>
      </c>
      <c r="G1190">
        <v>0.62593775987625122</v>
      </c>
      <c r="H1190" t="s">
        <v>188</v>
      </c>
      <c r="I1190">
        <v>0.54580080509185791</v>
      </c>
      <c r="J1190" t="s">
        <v>582</v>
      </c>
      <c r="K1190" s="4">
        <v>0.51533699035644531</v>
      </c>
      <c r="L1190" t="s">
        <v>334</v>
      </c>
      <c r="M1190">
        <v>7.7534039999999999E-2</v>
      </c>
      <c r="N1190" t="s">
        <v>29</v>
      </c>
      <c r="O1190">
        <v>5.7655922999999998E-2</v>
      </c>
      <c r="P1190" t="s">
        <v>1238</v>
      </c>
      <c r="Q1190" s="4">
        <v>5.7481392999999999E-2</v>
      </c>
      <c r="R1190" t="s">
        <v>452</v>
      </c>
      <c r="S1190">
        <v>0.22084561999999999</v>
      </c>
      <c r="T1190" t="s">
        <v>303</v>
      </c>
      <c r="U1190">
        <v>5.7439144999999997E-2</v>
      </c>
      <c r="V1190" t="s">
        <v>585</v>
      </c>
      <c r="W1190">
        <v>5.0341777999999997E-2</v>
      </c>
    </row>
    <row r="1191" spans="1:23" x14ac:dyDescent="0.25">
      <c r="A1191" s="3" t="str">
        <f>HYPERLINK("http://ids.si.edu/ids/deliveryService?id=NMAH-RWS2015-06666","NMAH-RWS2015-06666")</f>
        <v>NMAH-RWS2015-06666</v>
      </c>
      <c r="B1191" s="3" t="s">
        <v>2782</v>
      </c>
      <c r="C1191" s="3">
        <v>503270</v>
      </c>
      <c r="D1191" s="3" t="s">
        <v>1512</v>
      </c>
      <c r="E1191" s="4" t="s">
        <v>2783</v>
      </c>
      <c r="F1191" t="s">
        <v>61</v>
      </c>
      <c r="G1191">
        <v>0.97190570831298828</v>
      </c>
      <c r="H1191" t="s">
        <v>111</v>
      </c>
      <c r="I1191">
        <v>0.92444491386413574</v>
      </c>
      <c r="J1191" t="s">
        <v>220</v>
      </c>
      <c r="K1191" s="4">
        <v>0.87868183851242065</v>
      </c>
      <c r="L1191" t="s">
        <v>65</v>
      </c>
      <c r="M1191">
        <v>0.6898920999999999</v>
      </c>
      <c r="N1191" t="s">
        <v>79</v>
      </c>
      <c r="O1191">
        <v>7.4467785999999994E-2</v>
      </c>
      <c r="P1191" t="s">
        <v>426</v>
      </c>
      <c r="Q1191" s="4">
        <v>5.5812318E-2</v>
      </c>
      <c r="R1191" t="s">
        <v>66</v>
      </c>
      <c r="S1191">
        <v>0.33811942</v>
      </c>
      <c r="T1191" t="s">
        <v>77</v>
      </c>
      <c r="U1191">
        <v>0.17960272999999999</v>
      </c>
      <c r="V1191" t="s">
        <v>65</v>
      </c>
      <c r="W1191">
        <v>0.10069647</v>
      </c>
    </row>
    <row r="1192" spans="1:23" x14ac:dyDescent="0.25">
      <c r="A1192" s="3" t="str">
        <f>HYPERLINK("http://ids.si.edu/ids/deliveryService?id=NMAH-ET2016-05594","NMAH-ET2016-05594")</f>
        <v>NMAH-ET2016-05594</v>
      </c>
      <c r="B1192" s="3" t="s">
        <v>2784</v>
      </c>
      <c r="C1192" s="3">
        <v>497273</v>
      </c>
      <c r="D1192" s="3" t="s">
        <v>1512</v>
      </c>
      <c r="E1192" s="4" t="s">
        <v>248</v>
      </c>
      <c r="F1192" t="s">
        <v>91</v>
      </c>
      <c r="G1192">
        <v>0.88283330202102661</v>
      </c>
      <c r="L1192" t="s">
        <v>970</v>
      </c>
      <c r="M1192">
        <v>0.64750380000000007</v>
      </c>
      <c r="N1192" t="s">
        <v>337</v>
      </c>
      <c r="O1192">
        <v>0.21353854</v>
      </c>
      <c r="P1192" t="s">
        <v>765</v>
      </c>
      <c r="Q1192" s="4">
        <v>1.17486585E-2</v>
      </c>
      <c r="R1192" t="s">
        <v>970</v>
      </c>
      <c r="S1192">
        <v>0.42379655999999999</v>
      </c>
      <c r="T1192" t="s">
        <v>258</v>
      </c>
      <c r="U1192">
        <v>0.11111213</v>
      </c>
      <c r="V1192" t="s">
        <v>2785</v>
      </c>
      <c r="W1192">
        <v>8.509908599999999E-2</v>
      </c>
    </row>
    <row r="1193" spans="1:23" x14ac:dyDescent="0.25">
      <c r="A1193" s="3" t="str">
        <f>HYPERLINK("http://ids.si.edu/ids/deliveryService?id=NMAH-AHB2016q013063","NMAH-AHB2016q013063")</f>
        <v>NMAH-AHB2016q013063</v>
      </c>
      <c r="B1193" s="3" t="s">
        <v>2786</v>
      </c>
      <c r="C1193" s="3">
        <v>1357428</v>
      </c>
      <c r="D1193" s="3" t="s">
        <v>1512</v>
      </c>
      <c r="E1193" s="4" t="s">
        <v>1673</v>
      </c>
      <c r="F1193" t="s">
        <v>112</v>
      </c>
      <c r="G1193">
        <v>0.78258353471755981</v>
      </c>
      <c r="H1193" t="s">
        <v>196</v>
      </c>
      <c r="I1193">
        <v>0.57140392065048218</v>
      </c>
      <c r="J1193" t="s">
        <v>2787</v>
      </c>
      <c r="K1193" s="4">
        <v>0.54519563913345337</v>
      </c>
      <c r="L1193" t="s">
        <v>66</v>
      </c>
      <c r="M1193">
        <v>0.39938380000000001</v>
      </c>
      <c r="N1193" t="s">
        <v>29</v>
      </c>
      <c r="O1193">
        <v>0.1207179</v>
      </c>
      <c r="P1193" t="s">
        <v>253</v>
      </c>
      <c r="Q1193" s="4">
        <v>8.2647650000000003E-2</v>
      </c>
      <c r="R1193" t="s">
        <v>253</v>
      </c>
      <c r="S1193">
        <v>0.73810255999999996</v>
      </c>
      <c r="T1193" t="s">
        <v>689</v>
      </c>
      <c r="U1193">
        <v>0.19628532000000001</v>
      </c>
      <c r="V1193" t="s">
        <v>209</v>
      </c>
      <c r="W1193">
        <v>1.457935E-2</v>
      </c>
    </row>
    <row r="1194" spans="1:23" x14ac:dyDescent="0.25">
      <c r="A1194" s="3" t="str">
        <f>HYPERLINK("http://ids.si.edu/ids/deliveryService?id=NMAH-ET2016-05576","NMAH-ET2016-05576")</f>
        <v>NMAH-ET2016-05576</v>
      </c>
      <c r="B1194" s="3" t="s">
        <v>2788</v>
      </c>
      <c r="C1194" s="3">
        <v>490402</v>
      </c>
      <c r="D1194" s="3" t="s">
        <v>1512</v>
      </c>
      <c r="E1194" s="4" t="s">
        <v>2789</v>
      </c>
      <c r="F1194" t="s">
        <v>91</v>
      </c>
      <c r="G1194">
        <v>0.88283330202102661</v>
      </c>
      <c r="H1194" t="s">
        <v>90</v>
      </c>
      <c r="I1194">
        <v>0.76242613792419434</v>
      </c>
      <c r="J1194" t="s">
        <v>1150</v>
      </c>
      <c r="K1194" s="4">
        <v>0.55022251605987549</v>
      </c>
      <c r="L1194" t="s">
        <v>149</v>
      </c>
      <c r="M1194">
        <v>0.7154855</v>
      </c>
      <c r="N1194" t="s">
        <v>599</v>
      </c>
      <c r="O1194">
        <v>5.2493184999999998E-2</v>
      </c>
      <c r="P1194" t="s">
        <v>1086</v>
      </c>
      <c r="Q1194" s="4">
        <v>4.7909493999999997E-2</v>
      </c>
      <c r="R1194" t="s">
        <v>141</v>
      </c>
      <c r="S1194">
        <v>0.27673196999999999</v>
      </c>
      <c r="T1194" t="s">
        <v>149</v>
      </c>
      <c r="U1194">
        <v>8.9047186E-2</v>
      </c>
      <c r="V1194" t="s">
        <v>239</v>
      </c>
      <c r="W1194">
        <v>7.080504E-2</v>
      </c>
    </row>
    <row r="1195" spans="1:23" x14ac:dyDescent="0.25">
      <c r="A1195" s="3" t="str">
        <f>HYPERLINK("http://ids.si.edu/ids/deliveryService?id=NMAH-AHB2014q013110","NMAH-AHB2014q013110")</f>
        <v>NMAH-AHB2014q013110</v>
      </c>
      <c r="B1195" s="3" t="s">
        <v>2790</v>
      </c>
      <c r="C1195" s="3">
        <v>525337</v>
      </c>
      <c r="D1195" s="3" t="s">
        <v>1512</v>
      </c>
      <c r="E1195" s="4" t="s">
        <v>1543</v>
      </c>
      <c r="F1195" t="s">
        <v>741</v>
      </c>
      <c r="G1195">
        <v>0.91832083463668823</v>
      </c>
      <c r="H1195" t="s">
        <v>126</v>
      </c>
      <c r="I1195">
        <v>0.78523039817810059</v>
      </c>
      <c r="L1195" t="s">
        <v>65</v>
      </c>
      <c r="M1195">
        <v>0.76518640000000004</v>
      </c>
      <c r="N1195" t="s">
        <v>129</v>
      </c>
      <c r="O1195">
        <v>0.121859156</v>
      </c>
      <c r="P1195" t="s">
        <v>66</v>
      </c>
      <c r="Q1195" s="4">
        <v>3.4726279999999998E-2</v>
      </c>
      <c r="R1195" t="s">
        <v>65</v>
      </c>
      <c r="S1195">
        <v>0.6263474</v>
      </c>
      <c r="T1195" t="s">
        <v>129</v>
      </c>
      <c r="U1195">
        <v>0.26821664000000001</v>
      </c>
      <c r="V1195" t="s">
        <v>29</v>
      </c>
      <c r="W1195">
        <v>5.7001114000000012E-2</v>
      </c>
    </row>
    <row r="1196" spans="1:23" x14ac:dyDescent="0.25">
      <c r="A1196" s="3" t="str">
        <f>HYPERLINK("http://ids.si.edu/ids/deliveryService?id=NMAH-RWS2016-08971","NMAH-RWS2016-08971")</f>
        <v>NMAH-RWS2016-08971</v>
      </c>
      <c r="B1196" s="3" t="s">
        <v>2791</v>
      </c>
      <c r="C1196" s="3">
        <v>1250610</v>
      </c>
      <c r="D1196" s="3" t="s">
        <v>1512</v>
      </c>
      <c r="E1196" s="4" t="s">
        <v>2792</v>
      </c>
      <c r="F1196" t="s">
        <v>256</v>
      </c>
      <c r="G1196">
        <v>0.83146315813064575</v>
      </c>
      <c r="H1196" t="s">
        <v>2793</v>
      </c>
      <c r="I1196">
        <v>0.63393062353134155</v>
      </c>
      <c r="L1196" t="s">
        <v>83</v>
      </c>
      <c r="M1196">
        <v>0.30809575</v>
      </c>
      <c r="N1196" t="s">
        <v>247</v>
      </c>
      <c r="O1196">
        <v>0.13968064999999999</v>
      </c>
      <c r="P1196" t="s">
        <v>214</v>
      </c>
      <c r="Q1196" s="4">
        <v>8.0559740000000005E-2</v>
      </c>
      <c r="R1196" t="s">
        <v>239</v>
      </c>
      <c r="S1196">
        <v>0.35685778000000001</v>
      </c>
      <c r="T1196" t="s">
        <v>141</v>
      </c>
      <c r="U1196">
        <v>0.25540351999999999</v>
      </c>
      <c r="V1196" t="s">
        <v>82</v>
      </c>
      <c r="W1196">
        <v>1.9629369000000001E-2</v>
      </c>
    </row>
    <row r="1197" spans="1:23" x14ac:dyDescent="0.25">
      <c r="A1197" s="3" t="str">
        <f>HYPERLINK("http://ids.si.edu/ids/deliveryService?id=NMAH-2008-6466","NMAH-2008-6466")</f>
        <v>NMAH-2008-6466</v>
      </c>
      <c r="B1197" s="3" t="s">
        <v>2794</v>
      </c>
      <c r="C1197" s="3">
        <v>516565</v>
      </c>
      <c r="D1197" s="3" t="s">
        <v>1512</v>
      </c>
      <c r="E1197" s="4" t="s">
        <v>2795</v>
      </c>
      <c r="F1197" t="s">
        <v>2796</v>
      </c>
      <c r="G1197">
        <v>0.95628345012664795</v>
      </c>
      <c r="H1197" t="s">
        <v>1372</v>
      </c>
      <c r="I1197">
        <v>0.95615470409393311</v>
      </c>
      <c r="J1197" t="s">
        <v>636</v>
      </c>
      <c r="K1197" s="4">
        <v>0.56332188844680786</v>
      </c>
      <c r="L1197" t="s">
        <v>1184</v>
      </c>
      <c r="M1197">
        <v>0.65499216000000005</v>
      </c>
      <c r="N1197" t="s">
        <v>31</v>
      </c>
      <c r="O1197">
        <v>0.14706668000000001</v>
      </c>
      <c r="P1197" t="s">
        <v>369</v>
      </c>
      <c r="Q1197" s="4">
        <v>9.3847050000000001E-2</v>
      </c>
      <c r="R1197" t="s">
        <v>1184</v>
      </c>
      <c r="S1197">
        <v>0.55968684000000002</v>
      </c>
      <c r="T1197" t="s">
        <v>369</v>
      </c>
      <c r="U1197">
        <v>0.13367411000000001</v>
      </c>
      <c r="V1197" t="s">
        <v>183</v>
      </c>
      <c r="W1197">
        <v>6.9508730000000005E-2</v>
      </c>
    </row>
    <row r="1198" spans="1:23" x14ac:dyDescent="0.25">
      <c r="A1198" s="3" t="str">
        <f>HYPERLINK("http://ids.si.edu/ids/deliveryService?id=NMAH-ET2016-04901","NMAH-ET2016-04901")</f>
        <v>NMAH-ET2016-04901</v>
      </c>
      <c r="B1198" s="3" t="s">
        <v>2797</v>
      </c>
      <c r="C1198" s="3">
        <v>504566</v>
      </c>
      <c r="D1198" s="3" t="s">
        <v>1512</v>
      </c>
      <c r="E1198" s="4" t="s">
        <v>1182</v>
      </c>
      <c r="F1198" t="s">
        <v>61</v>
      </c>
      <c r="G1198">
        <v>0.90306717157363892</v>
      </c>
      <c r="H1198" t="s">
        <v>220</v>
      </c>
      <c r="I1198">
        <v>0.85997414588928223</v>
      </c>
      <c r="J1198" t="s">
        <v>447</v>
      </c>
      <c r="K1198" s="4">
        <v>0.74339002370834351</v>
      </c>
      <c r="L1198" t="s">
        <v>65</v>
      </c>
      <c r="M1198">
        <v>0.40175906</v>
      </c>
      <c r="N1198" t="s">
        <v>45</v>
      </c>
      <c r="O1198">
        <v>0.12875326000000001</v>
      </c>
      <c r="P1198" t="s">
        <v>79</v>
      </c>
      <c r="Q1198" s="4">
        <v>0.11488514</v>
      </c>
      <c r="R1198" t="s">
        <v>66</v>
      </c>
      <c r="S1198">
        <v>0.45783492999999997</v>
      </c>
      <c r="T1198" t="s">
        <v>79</v>
      </c>
      <c r="U1198">
        <v>7.8594275000000005E-2</v>
      </c>
      <c r="V1198" t="s">
        <v>65</v>
      </c>
      <c r="W1198">
        <v>7.0180030000000004E-2</v>
      </c>
    </row>
    <row r="1199" spans="1:23" x14ac:dyDescent="0.25">
      <c r="A1199" s="3" t="str">
        <f>HYPERLINK("http://ids.si.edu/ids/deliveryService?id=NMAH-AHB2017q021007","NMAH-AHB2017q021007")</f>
        <v>NMAH-AHB2017q021007</v>
      </c>
      <c r="B1199" s="3" t="s">
        <v>2798</v>
      </c>
      <c r="C1199" s="3">
        <v>1001108</v>
      </c>
      <c r="D1199" s="3" t="s">
        <v>1512</v>
      </c>
      <c r="E1199" s="4" t="s">
        <v>842</v>
      </c>
      <c r="F1199" t="s">
        <v>1224</v>
      </c>
      <c r="G1199">
        <v>0.90605729818344116</v>
      </c>
      <c r="H1199" t="s">
        <v>892</v>
      </c>
      <c r="I1199">
        <v>0.87301456928253174</v>
      </c>
      <c r="J1199" t="s">
        <v>194</v>
      </c>
      <c r="K1199" s="4">
        <v>0.8200487494468689</v>
      </c>
      <c r="L1199" t="s">
        <v>273</v>
      </c>
      <c r="M1199">
        <v>0.22673594999999999</v>
      </c>
      <c r="N1199" t="s">
        <v>259</v>
      </c>
      <c r="O1199">
        <v>0.19146853999999999</v>
      </c>
      <c r="P1199" t="s">
        <v>190</v>
      </c>
      <c r="Q1199" s="4">
        <v>0.14410591</v>
      </c>
      <c r="R1199" t="s">
        <v>586</v>
      </c>
      <c r="S1199">
        <v>0.60890376999999996</v>
      </c>
      <c r="T1199" t="s">
        <v>903</v>
      </c>
      <c r="U1199">
        <v>5.5204608000000002E-2</v>
      </c>
      <c r="V1199" t="s">
        <v>303</v>
      </c>
      <c r="W1199">
        <v>4.8828925999999988E-2</v>
      </c>
    </row>
    <row r="1200" spans="1:23" x14ac:dyDescent="0.25">
      <c r="A1200" s="3" t="str">
        <f>HYPERLINK("http://ids.si.edu/ids/deliveryService?id=NMAH-AHB2012q08008","NMAH-AHB2012q08008")</f>
        <v>NMAH-AHB2012q08008</v>
      </c>
      <c r="B1200" s="3" t="s">
        <v>2799</v>
      </c>
      <c r="C1200" s="3">
        <v>524552</v>
      </c>
      <c r="D1200" s="3" t="s">
        <v>1512</v>
      </c>
      <c r="E1200" s="4" t="s">
        <v>118</v>
      </c>
      <c r="F1200" t="s">
        <v>101</v>
      </c>
      <c r="G1200">
        <v>0.95580762624740601</v>
      </c>
      <c r="H1200" t="s">
        <v>119</v>
      </c>
      <c r="I1200">
        <v>0.91175585985183716</v>
      </c>
      <c r="J1200" t="s">
        <v>188</v>
      </c>
      <c r="K1200" s="4">
        <v>0.87371647357940674</v>
      </c>
      <c r="L1200" t="s">
        <v>122</v>
      </c>
      <c r="M1200">
        <v>0.82680159999999991</v>
      </c>
      <c r="N1200" t="s">
        <v>121</v>
      </c>
      <c r="O1200">
        <v>4.8098645999999988E-2</v>
      </c>
      <c r="P1200" t="s">
        <v>123</v>
      </c>
      <c r="Q1200" s="4">
        <v>2.8027824999999999E-2</v>
      </c>
      <c r="R1200" t="s">
        <v>122</v>
      </c>
      <c r="S1200">
        <v>0.15618568999999999</v>
      </c>
      <c r="T1200" t="s">
        <v>86</v>
      </c>
      <c r="U1200">
        <v>0.15128813999999999</v>
      </c>
      <c r="V1200" t="s">
        <v>853</v>
      </c>
      <c r="W1200">
        <v>4.9270532999999998E-2</v>
      </c>
    </row>
    <row r="1201" spans="1:23" x14ac:dyDescent="0.25">
      <c r="A1201" s="3" t="str">
        <f>HYPERLINK("http://ids.si.edu/ids/deliveryService?id=NMAH-AHB2017q021009","NMAH-AHB2017q021009")</f>
        <v>NMAH-AHB2017q021009</v>
      </c>
      <c r="B1201" s="3" t="s">
        <v>2800</v>
      </c>
      <c r="C1201" s="3">
        <v>1463675</v>
      </c>
      <c r="D1201" s="3" t="s">
        <v>1512</v>
      </c>
      <c r="E1201" s="4" t="s">
        <v>842</v>
      </c>
      <c r="F1201" t="s">
        <v>132</v>
      </c>
      <c r="G1201">
        <v>0.94389963150024414</v>
      </c>
      <c r="H1201" t="s">
        <v>1254</v>
      </c>
      <c r="I1201">
        <v>0.6786121129989624</v>
      </c>
      <c r="J1201" t="s">
        <v>1224</v>
      </c>
      <c r="K1201" s="4">
        <v>0.55872058868408203</v>
      </c>
      <c r="L1201" t="s">
        <v>2492</v>
      </c>
      <c r="M1201">
        <v>0.79186569999999989</v>
      </c>
      <c r="N1201" t="s">
        <v>303</v>
      </c>
      <c r="O1201">
        <v>7.6460109999999998E-2</v>
      </c>
      <c r="P1201" t="s">
        <v>585</v>
      </c>
      <c r="Q1201" s="4">
        <v>2.9725519999999998E-2</v>
      </c>
      <c r="R1201" t="s">
        <v>303</v>
      </c>
      <c r="S1201">
        <v>0.23835540999999999</v>
      </c>
      <c r="T1201" t="s">
        <v>2492</v>
      </c>
      <c r="U1201">
        <v>0.23427365999999999</v>
      </c>
      <c r="V1201" t="s">
        <v>302</v>
      </c>
      <c r="W1201">
        <v>0.21351518</v>
      </c>
    </row>
    <row r="1202" spans="1:23" x14ac:dyDescent="0.25">
      <c r="A1202" s="3" t="str">
        <f>HYPERLINK("http://ids.si.edu/ids/deliveryService?id=NMAH-2006-25900-01","NMAH-2006-25900-01")</f>
        <v>NMAH-2006-25900-01</v>
      </c>
      <c r="B1202" s="3" t="s">
        <v>2801</v>
      </c>
      <c r="C1202" s="3">
        <v>694880</v>
      </c>
      <c r="D1202" s="3" t="s">
        <v>1512</v>
      </c>
      <c r="E1202" s="4" t="s">
        <v>2802</v>
      </c>
      <c r="F1202" t="s">
        <v>558</v>
      </c>
      <c r="G1202">
        <v>0.69541704654693604</v>
      </c>
      <c r="H1202" t="s">
        <v>50</v>
      </c>
      <c r="I1202">
        <v>0.5114516019821167</v>
      </c>
      <c r="L1202" t="s">
        <v>820</v>
      </c>
      <c r="M1202">
        <v>0.27570795999999997</v>
      </c>
      <c r="N1202" t="s">
        <v>1419</v>
      </c>
      <c r="O1202">
        <v>0.10411179</v>
      </c>
      <c r="P1202" t="s">
        <v>35</v>
      </c>
      <c r="Q1202" s="4">
        <v>9.2564859999999999E-2</v>
      </c>
      <c r="R1202" t="s">
        <v>141</v>
      </c>
      <c r="S1202">
        <v>0.21040439999999999</v>
      </c>
      <c r="T1202" t="s">
        <v>175</v>
      </c>
      <c r="U1202">
        <v>0.17099558000000001</v>
      </c>
      <c r="V1202" t="s">
        <v>523</v>
      </c>
      <c r="W1202">
        <v>0.11481775</v>
      </c>
    </row>
    <row r="1203" spans="1:23" x14ac:dyDescent="0.25">
      <c r="A1203" s="3" t="str">
        <f>HYPERLINK("http://ids.si.edu/ids/deliveryService?id=NMAH-AHB2014q005030","NMAH-AHB2014q005030")</f>
        <v>NMAH-AHB2014q005030</v>
      </c>
      <c r="B1203" s="3" t="s">
        <v>2803</v>
      </c>
      <c r="C1203" s="3">
        <v>1172276</v>
      </c>
      <c r="D1203" s="3" t="s">
        <v>1512</v>
      </c>
      <c r="E1203" s="4" t="s">
        <v>2804</v>
      </c>
      <c r="F1203" t="s">
        <v>126</v>
      </c>
      <c r="G1203">
        <v>0.90417629480361938</v>
      </c>
      <c r="H1203" t="s">
        <v>741</v>
      </c>
      <c r="I1203">
        <v>0.73017382621765137</v>
      </c>
      <c r="L1203" t="s">
        <v>129</v>
      </c>
      <c r="M1203">
        <v>0.91123927000000005</v>
      </c>
      <c r="N1203" t="s">
        <v>65</v>
      </c>
      <c r="O1203">
        <v>5.3616807000000002E-2</v>
      </c>
      <c r="P1203" t="s">
        <v>77</v>
      </c>
      <c r="Q1203" s="4">
        <v>2.9543472000000001E-2</v>
      </c>
      <c r="R1203" t="s">
        <v>129</v>
      </c>
      <c r="S1203">
        <v>0.51341563000000001</v>
      </c>
      <c r="T1203" t="s">
        <v>29</v>
      </c>
      <c r="U1203">
        <v>0.20156482000000001</v>
      </c>
      <c r="V1203" t="s">
        <v>65</v>
      </c>
      <c r="W1203">
        <v>0.15474834000000001</v>
      </c>
    </row>
    <row r="1204" spans="1:23" x14ac:dyDescent="0.25">
      <c r="A1204" s="3" t="str">
        <f>HYPERLINK("http://ids.si.edu/ids/deliveryService?id=NMAH-ET2017-00571-000001","NMAH-ET2017-00571-000001")</f>
        <v>NMAH-ET2017-00571-000001</v>
      </c>
      <c r="B1204" s="3" t="s">
        <v>2805</v>
      </c>
      <c r="C1204" s="3">
        <v>547247</v>
      </c>
      <c r="D1204" s="3" t="s">
        <v>1512</v>
      </c>
      <c r="E1204" s="4" t="s">
        <v>740</v>
      </c>
      <c r="F1204" t="s">
        <v>447</v>
      </c>
      <c r="G1204">
        <v>0.5029836893081665</v>
      </c>
      <c r="L1204" t="s">
        <v>65</v>
      </c>
      <c r="M1204">
        <v>0.27922079999999999</v>
      </c>
      <c r="N1204" t="s">
        <v>152</v>
      </c>
      <c r="O1204">
        <v>0.22829014</v>
      </c>
      <c r="P1204" t="s">
        <v>209</v>
      </c>
      <c r="Q1204" s="4">
        <v>8.4191989999999994E-2</v>
      </c>
      <c r="R1204" t="s">
        <v>209</v>
      </c>
      <c r="S1204">
        <v>0.27825742999999997</v>
      </c>
      <c r="T1204" t="s">
        <v>627</v>
      </c>
      <c r="U1204">
        <v>0.23008326000000001</v>
      </c>
      <c r="V1204" t="s">
        <v>1238</v>
      </c>
      <c r="W1204">
        <v>0.20282634999999999</v>
      </c>
    </row>
    <row r="1205" spans="1:23" x14ac:dyDescent="0.25">
      <c r="A1205" s="3" t="str">
        <f>HYPERLINK("http://ids.si.edu/ids/deliveryService?id=NMAH-ET2016-05546","NMAH-ET2016-05546")</f>
        <v>NMAH-ET2016-05546</v>
      </c>
      <c r="B1205" s="3" t="s">
        <v>2806</v>
      </c>
      <c r="C1205" s="3">
        <v>497284</v>
      </c>
      <c r="D1205" s="3" t="s">
        <v>1512</v>
      </c>
      <c r="E1205" s="4" t="s">
        <v>248</v>
      </c>
      <c r="L1205" t="s">
        <v>560</v>
      </c>
      <c r="M1205">
        <v>0.57640790000000008</v>
      </c>
      <c r="N1205" t="s">
        <v>2299</v>
      </c>
      <c r="O1205">
        <v>0.27650395</v>
      </c>
      <c r="P1205" t="s">
        <v>175</v>
      </c>
      <c r="Q1205" s="4">
        <v>3.3699434E-2</v>
      </c>
      <c r="R1205" t="s">
        <v>175</v>
      </c>
      <c r="S1205">
        <v>8.5766110000000007E-2</v>
      </c>
      <c r="T1205" t="s">
        <v>149</v>
      </c>
      <c r="U1205">
        <v>6.6986909999999997E-2</v>
      </c>
      <c r="V1205" t="s">
        <v>560</v>
      </c>
      <c r="W1205">
        <v>6.5882029999999994E-2</v>
      </c>
    </row>
    <row r="1206" spans="1:23" x14ac:dyDescent="0.25">
      <c r="A1206" s="3" t="str">
        <f>HYPERLINK("http://ids.si.edu/ids/deliveryService?id=NMAH-ET2016-05249","NMAH-ET2016-05249")</f>
        <v>NMAH-ET2016-05249</v>
      </c>
      <c r="B1206" s="3" t="s">
        <v>2807</v>
      </c>
      <c r="C1206" s="3">
        <v>1693697</v>
      </c>
      <c r="D1206" s="3" t="s">
        <v>1512</v>
      </c>
      <c r="E1206" s="4" t="s">
        <v>1543</v>
      </c>
      <c r="F1206" t="s">
        <v>61</v>
      </c>
      <c r="G1206">
        <v>0.91897565126419067</v>
      </c>
      <c r="H1206" t="s">
        <v>220</v>
      </c>
      <c r="I1206">
        <v>0.73945504426956177</v>
      </c>
      <c r="J1206" t="s">
        <v>2263</v>
      </c>
      <c r="K1206" s="4">
        <v>0.73511683940887451</v>
      </c>
      <c r="L1206" t="s">
        <v>65</v>
      </c>
      <c r="M1206">
        <v>0.71689915999999998</v>
      </c>
      <c r="N1206" t="s">
        <v>398</v>
      </c>
      <c r="O1206">
        <v>3.4232146999999997E-2</v>
      </c>
      <c r="P1206" t="s">
        <v>79</v>
      </c>
      <c r="Q1206" s="4">
        <v>2.9934676E-2</v>
      </c>
      <c r="R1206" t="s">
        <v>1238</v>
      </c>
      <c r="S1206">
        <v>0.12819427</v>
      </c>
      <c r="T1206" t="s">
        <v>66</v>
      </c>
      <c r="U1206">
        <v>0.10185941</v>
      </c>
      <c r="V1206" t="s">
        <v>627</v>
      </c>
      <c r="W1206">
        <v>9.5012255000000004E-2</v>
      </c>
    </row>
    <row r="1207" spans="1:23" x14ac:dyDescent="0.25">
      <c r="A1207" s="3" t="str">
        <f>HYPERLINK("http://ids.si.edu/ids/deliveryService?id=NMAH-ET2016-04915","NMAH-ET2016-04915")</f>
        <v>NMAH-ET2016-04915</v>
      </c>
      <c r="B1207" s="3" t="s">
        <v>2808</v>
      </c>
      <c r="C1207" s="3">
        <v>1321728</v>
      </c>
      <c r="D1207" s="3" t="s">
        <v>1512</v>
      </c>
      <c r="E1207" s="4" t="s">
        <v>1384</v>
      </c>
      <c r="F1207" t="s">
        <v>112</v>
      </c>
      <c r="G1207">
        <v>0.91214591264724731</v>
      </c>
      <c r="H1207" t="s">
        <v>61</v>
      </c>
      <c r="I1207">
        <v>0.89013081789016724</v>
      </c>
      <c r="J1207" t="s">
        <v>38</v>
      </c>
      <c r="K1207" s="4">
        <v>0.60808920860290527</v>
      </c>
      <c r="L1207" t="s">
        <v>65</v>
      </c>
      <c r="M1207">
        <v>0.63049763000000003</v>
      </c>
      <c r="N1207" t="s">
        <v>209</v>
      </c>
      <c r="O1207">
        <v>3.0058138000000002E-2</v>
      </c>
      <c r="P1207" t="s">
        <v>405</v>
      </c>
      <c r="Q1207" s="4">
        <v>2.6300475E-2</v>
      </c>
      <c r="R1207" t="s">
        <v>405</v>
      </c>
      <c r="S1207">
        <v>0.31027840000000001</v>
      </c>
      <c r="T1207" t="s">
        <v>65</v>
      </c>
      <c r="U1207">
        <v>2.5497889999999999E-2</v>
      </c>
      <c r="V1207" t="s">
        <v>1238</v>
      </c>
      <c r="W1207">
        <v>1.4783965E-2</v>
      </c>
    </row>
    <row r="1208" spans="1:23" x14ac:dyDescent="0.25">
      <c r="A1208" s="3" t="str">
        <f>HYPERLINK("http://ids.si.edu/ids/deliveryService?id=NMAH-JN2013-1550","NMAH-JN2013-1550")</f>
        <v>NMAH-JN2013-1550</v>
      </c>
      <c r="B1208" s="3" t="s">
        <v>2809</v>
      </c>
      <c r="C1208" s="3">
        <v>525713</v>
      </c>
      <c r="D1208" s="3" t="s">
        <v>1512</v>
      </c>
      <c r="E1208" s="4" t="s">
        <v>2810</v>
      </c>
      <c r="F1208" t="s">
        <v>101</v>
      </c>
      <c r="G1208">
        <v>0.97429251670837402</v>
      </c>
      <c r="H1208" t="s">
        <v>340</v>
      </c>
      <c r="I1208">
        <v>0.95123296976089478</v>
      </c>
      <c r="J1208" t="s">
        <v>103</v>
      </c>
      <c r="K1208" s="4">
        <v>0.93780285120010376</v>
      </c>
      <c r="L1208" t="s">
        <v>161</v>
      </c>
      <c r="M1208">
        <v>0.97536283999999995</v>
      </c>
      <c r="N1208" t="s">
        <v>105</v>
      </c>
      <c r="O1208">
        <v>1.0745518000000001E-2</v>
      </c>
      <c r="P1208" t="s">
        <v>1541</v>
      </c>
      <c r="Q1208" s="4">
        <v>4.1763414999999998E-3</v>
      </c>
      <c r="R1208" t="s">
        <v>161</v>
      </c>
      <c r="S1208">
        <v>0.44404417000000002</v>
      </c>
      <c r="T1208" t="s">
        <v>2194</v>
      </c>
      <c r="U1208">
        <v>0.26885910000000002</v>
      </c>
      <c r="V1208" t="s">
        <v>105</v>
      </c>
      <c r="W1208">
        <v>0.13731952</v>
      </c>
    </row>
    <row r="1209" spans="1:23" x14ac:dyDescent="0.25">
      <c r="A1209" s="3" t="str">
        <f>HYPERLINK("http://ids.si.edu/ids/deliveryService?id=NMAH-RWS2012-04588","NMAH-RWS2012-04588")</f>
        <v>NMAH-RWS2012-04588</v>
      </c>
      <c r="B1209" s="3" t="s">
        <v>2811</v>
      </c>
      <c r="C1209" s="3">
        <v>514377</v>
      </c>
      <c r="D1209" s="3" t="s">
        <v>1512</v>
      </c>
      <c r="E1209" s="4" t="s">
        <v>2812</v>
      </c>
      <c r="F1209" t="s">
        <v>206</v>
      </c>
      <c r="G1209">
        <v>0.59933161735534668</v>
      </c>
      <c r="H1209" t="s">
        <v>922</v>
      </c>
      <c r="I1209">
        <v>0.59668850898742676</v>
      </c>
      <c r="J1209" t="s">
        <v>236</v>
      </c>
      <c r="K1209" s="4">
        <v>0.54227489233016968</v>
      </c>
      <c r="L1209" t="s">
        <v>426</v>
      </c>
      <c r="M1209">
        <v>0.54064416999999998</v>
      </c>
      <c r="N1209" t="s">
        <v>203</v>
      </c>
      <c r="O1209">
        <v>6.9489800000000004E-2</v>
      </c>
      <c r="P1209" t="s">
        <v>259</v>
      </c>
      <c r="Q1209" s="4">
        <v>6.4944059999999998E-2</v>
      </c>
      <c r="R1209" t="s">
        <v>426</v>
      </c>
      <c r="S1209">
        <v>0.24648911000000001</v>
      </c>
      <c r="T1209" t="s">
        <v>209</v>
      </c>
      <c r="U1209">
        <v>7.4900460000000002E-2</v>
      </c>
      <c r="V1209" t="s">
        <v>66</v>
      </c>
      <c r="W1209">
        <v>5.9747096E-2</v>
      </c>
    </row>
    <row r="1210" spans="1:23" x14ac:dyDescent="0.25">
      <c r="A1210" s="3" t="str">
        <f>HYPERLINK("http://ids.si.edu/ids/deliveryService?id=NMAH-AHB2016q013067","NMAH-AHB2016q013067")</f>
        <v>NMAH-AHB2016q013067</v>
      </c>
      <c r="B1210" s="3" t="s">
        <v>2813</v>
      </c>
      <c r="C1210" s="3">
        <v>518464</v>
      </c>
      <c r="D1210" s="3" t="s">
        <v>1512</v>
      </c>
      <c r="E1210" s="4" t="s">
        <v>661</v>
      </c>
      <c r="F1210" t="s">
        <v>486</v>
      </c>
      <c r="G1210">
        <v>0.5052109956741333</v>
      </c>
      <c r="L1210" t="s">
        <v>79</v>
      </c>
      <c r="M1210">
        <v>0.15577756000000001</v>
      </c>
      <c r="N1210" t="s">
        <v>65</v>
      </c>
      <c r="O1210">
        <v>0.14479576</v>
      </c>
      <c r="P1210" t="s">
        <v>209</v>
      </c>
      <c r="Q1210" s="4">
        <v>6.6543130000000006E-2</v>
      </c>
      <c r="R1210" t="s">
        <v>65</v>
      </c>
      <c r="S1210">
        <v>0.27529462999999998</v>
      </c>
      <c r="T1210" t="s">
        <v>66</v>
      </c>
      <c r="U1210">
        <v>0.16249340000000001</v>
      </c>
      <c r="V1210" t="s">
        <v>334</v>
      </c>
      <c r="W1210">
        <v>0.122137256</v>
      </c>
    </row>
    <row r="1211" spans="1:23" x14ac:dyDescent="0.25">
      <c r="A1211" s="3" t="str">
        <f>HYPERLINK("http://ids.si.edu/ids/deliveryService?id=NMAH-AHB2016q013024","NMAH-AHB2016q013024")</f>
        <v>NMAH-AHB2016q013024</v>
      </c>
      <c r="B1211" s="3" t="s">
        <v>2814</v>
      </c>
      <c r="C1211" s="3">
        <v>513424</v>
      </c>
      <c r="D1211" s="3" t="s">
        <v>1512</v>
      </c>
      <c r="E1211" s="4" t="s">
        <v>740</v>
      </c>
      <c r="F1211" t="s">
        <v>61</v>
      </c>
      <c r="G1211">
        <v>0.89724308252334595</v>
      </c>
      <c r="H1211" t="s">
        <v>112</v>
      </c>
      <c r="I1211">
        <v>0.68572378158569336</v>
      </c>
      <c r="J1211" t="s">
        <v>447</v>
      </c>
      <c r="K1211" s="4">
        <v>0.60898721218109131</v>
      </c>
      <c r="L1211" t="s">
        <v>65</v>
      </c>
      <c r="M1211">
        <v>0.73460745999999999</v>
      </c>
      <c r="N1211" t="s">
        <v>426</v>
      </c>
      <c r="O1211">
        <v>0.101692796</v>
      </c>
      <c r="P1211" t="s">
        <v>66</v>
      </c>
      <c r="Q1211" s="4">
        <v>3.0036622999999998E-2</v>
      </c>
      <c r="R1211" t="s">
        <v>426</v>
      </c>
      <c r="S1211">
        <v>0.28929644999999998</v>
      </c>
      <c r="T1211" t="s">
        <v>65</v>
      </c>
      <c r="U1211">
        <v>0.27380139999999997</v>
      </c>
      <c r="V1211" t="s">
        <v>66</v>
      </c>
      <c r="W1211">
        <v>8.7477800000000008E-2</v>
      </c>
    </row>
    <row r="1212" spans="1:23" x14ac:dyDescent="0.25">
      <c r="A1212" s="3" t="str">
        <f>HYPERLINK("http://ids.si.edu/ids/deliveryService?id=NMAH-ET2011-43501-000001","NMAH-ET2011-43501-000001")</f>
        <v>NMAH-ET2011-43501-000001</v>
      </c>
      <c r="B1212" s="3" t="s">
        <v>2815</v>
      </c>
      <c r="C1212" s="3">
        <v>1398626</v>
      </c>
      <c r="D1212" s="3" t="s">
        <v>1512</v>
      </c>
      <c r="E1212" s="4" t="s">
        <v>1384</v>
      </c>
      <c r="F1212" t="s">
        <v>61</v>
      </c>
      <c r="G1212">
        <v>0.92879420518875122</v>
      </c>
      <c r="H1212" t="s">
        <v>126</v>
      </c>
      <c r="I1212">
        <v>0.86714059114456177</v>
      </c>
      <c r="J1212" t="s">
        <v>455</v>
      </c>
      <c r="K1212" s="4">
        <v>0.86297160387039185</v>
      </c>
      <c r="L1212" t="s">
        <v>65</v>
      </c>
      <c r="M1212">
        <v>0.87361309999999992</v>
      </c>
      <c r="N1212" t="s">
        <v>29</v>
      </c>
      <c r="O1212">
        <v>4.7920770000000001E-2</v>
      </c>
      <c r="P1212" t="s">
        <v>460</v>
      </c>
      <c r="Q1212" s="4">
        <v>2.3191454E-2</v>
      </c>
      <c r="R1212" t="s">
        <v>65</v>
      </c>
      <c r="S1212">
        <v>0.98408925999999997</v>
      </c>
      <c r="T1212" t="s">
        <v>29</v>
      </c>
      <c r="U1212">
        <v>6.3683893999999996E-3</v>
      </c>
      <c r="V1212" t="s">
        <v>129</v>
      </c>
      <c r="W1212">
        <v>2.5247965999999999E-3</v>
      </c>
    </row>
    <row r="1213" spans="1:23" x14ac:dyDescent="0.25">
      <c r="A1213" s="3" t="str">
        <f>HYPERLINK("http://ids.si.edu/ids/deliveryService?id=NMAH-RWS2018-01739-000001","NMAH-RWS2018-01739-000001")</f>
        <v>NMAH-RWS2018-01739-000001</v>
      </c>
      <c r="B1213" s="3" t="s">
        <v>2816</v>
      </c>
      <c r="C1213" s="3">
        <v>1104979</v>
      </c>
      <c r="D1213" s="3" t="s">
        <v>1512</v>
      </c>
      <c r="E1213" s="4" t="s">
        <v>125</v>
      </c>
      <c r="F1213" t="s">
        <v>61</v>
      </c>
      <c r="G1213">
        <v>0.93072229623794556</v>
      </c>
      <c r="H1213" t="s">
        <v>112</v>
      </c>
      <c r="I1213">
        <v>0.90149790048599243</v>
      </c>
      <c r="J1213" t="s">
        <v>126</v>
      </c>
      <c r="K1213" s="4">
        <v>0.71719962358474731</v>
      </c>
      <c r="L1213" t="s">
        <v>65</v>
      </c>
      <c r="M1213">
        <v>0.28510067</v>
      </c>
      <c r="N1213" t="s">
        <v>1238</v>
      </c>
      <c r="O1213">
        <v>5.5753524999999998E-2</v>
      </c>
      <c r="P1213" t="s">
        <v>405</v>
      </c>
      <c r="Q1213" s="4">
        <v>5.0561549999999997E-2</v>
      </c>
      <c r="R1213" t="s">
        <v>65</v>
      </c>
      <c r="S1213">
        <v>0.104996935</v>
      </c>
      <c r="T1213" t="s">
        <v>29</v>
      </c>
      <c r="U1213">
        <v>7.8485064000000007E-2</v>
      </c>
      <c r="V1213" t="s">
        <v>405</v>
      </c>
      <c r="W1213">
        <v>4.3782073999999997E-2</v>
      </c>
    </row>
    <row r="1214" spans="1:23" x14ac:dyDescent="0.25">
      <c r="A1214" s="3" t="str">
        <f>HYPERLINK("http://ids.si.edu/ids/deliveryService?id=NMAH-2008-9506-000002","NMAH-2008-9506-000002")</f>
        <v>NMAH-2008-9506-000002</v>
      </c>
      <c r="B1214" s="3" t="s">
        <v>2817</v>
      </c>
      <c r="C1214" s="3">
        <v>515922</v>
      </c>
      <c r="D1214" s="3" t="s">
        <v>1512</v>
      </c>
      <c r="E1214" s="4" t="s">
        <v>2818</v>
      </c>
      <c r="F1214" t="s">
        <v>101</v>
      </c>
      <c r="G1214">
        <v>0.97279584407806396</v>
      </c>
      <c r="H1214" t="s">
        <v>511</v>
      </c>
      <c r="I1214">
        <v>0.96048617362976074</v>
      </c>
      <c r="J1214" t="s">
        <v>1127</v>
      </c>
      <c r="K1214" s="4">
        <v>0.94777959585189819</v>
      </c>
      <c r="L1214" t="s">
        <v>634</v>
      </c>
      <c r="M1214">
        <v>0.40359289999999998</v>
      </c>
      <c r="N1214" t="s">
        <v>294</v>
      </c>
      <c r="O1214">
        <v>0.15291320999999999</v>
      </c>
      <c r="P1214" t="s">
        <v>513</v>
      </c>
      <c r="Q1214" s="4">
        <v>9.8190340000000001E-2</v>
      </c>
      <c r="R1214" t="s">
        <v>634</v>
      </c>
      <c r="S1214">
        <v>0.44533529999999999</v>
      </c>
      <c r="T1214" t="s">
        <v>513</v>
      </c>
      <c r="U1214">
        <v>0.31681441999999999</v>
      </c>
      <c r="V1214" t="s">
        <v>161</v>
      </c>
      <c r="W1214">
        <v>0.11850814</v>
      </c>
    </row>
    <row r="1215" spans="1:23" x14ac:dyDescent="0.25">
      <c r="A1215" s="3" t="str">
        <f>HYPERLINK("http://ids.si.edu/ids/deliveryService?id=NMAH-ET2015-20047","NMAH-ET2015-20047")</f>
        <v>NMAH-ET2015-20047</v>
      </c>
      <c r="B1215" s="3" t="s">
        <v>2819</v>
      </c>
      <c r="C1215" s="3">
        <v>508085</v>
      </c>
      <c r="D1215" s="3" t="s">
        <v>1512</v>
      </c>
      <c r="E1215" s="4" t="s">
        <v>2820</v>
      </c>
      <c r="F1215" t="s">
        <v>1130</v>
      </c>
      <c r="G1215">
        <v>0.95364856719970703</v>
      </c>
      <c r="H1215" t="s">
        <v>2014</v>
      </c>
      <c r="I1215">
        <v>0.86612111330032349</v>
      </c>
      <c r="J1215" t="s">
        <v>132</v>
      </c>
      <c r="K1215" s="4">
        <v>0.86494487524032593</v>
      </c>
      <c r="L1215" t="s">
        <v>53</v>
      </c>
      <c r="M1215">
        <v>0.11821009</v>
      </c>
      <c r="N1215" t="s">
        <v>437</v>
      </c>
      <c r="O1215">
        <v>9.3831330000000004E-2</v>
      </c>
      <c r="P1215" t="s">
        <v>369</v>
      </c>
      <c r="Q1215" s="4">
        <v>4.3063648000000003E-2</v>
      </c>
      <c r="R1215" t="s">
        <v>2016</v>
      </c>
      <c r="S1215">
        <v>0.39055436999999998</v>
      </c>
      <c r="T1215" t="s">
        <v>2821</v>
      </c>
      <c r="U1215">
        <v>4.8734794999999997E-2</v>
      </c>
      <c r="V1215" t="s">
        <v>2767</v>
      </c>
      <c r="W1215">
        <v>3.8850673000000002E-2</v>
      </c>
    </row>
    <row r="1216" spans="1:23" x14ac:dyDescent="0.25">
      <c r="A1216" s="3" t="str">
        <f>HYPERLINK("http://ids.si.edu/ids/deliveryService?id=NMAH-ET2017-00465-000001","NMAH-ET2017-00465-000001")</f>
        <v>NMAH-ET2017-00465-000001</v>
      </c>
      <c r="B1216" s="3" t="s">
        <v>2822</v>
      </c>
      <c r="C1216" s="3">
        <v>529353</v>
      </c>
      <c r="D1216" s="3" t="s">
        <v>1512</v>
      </c>
      <c r="E1216" s="4" t="s">
        <v>2823</v>
      </c>
      <c r="F1216" t="s">
        <v>1130</v>
      </c>
      <c r="G1216">
        <v>0.88176441192626953</v>
      </c>
      <c r="H1216" t="s">
        <v>2824</v>
      </c>
      <c r="I1216">
        <v>0.83339625597000122</v>
      </c>
      <c r="J1216" t="s">
        <v>2825</v>
      </c>
      <c r="K1216" s="4">
        <v>0.77229422330856323</v>
      </c>
      <c r="L1216" t="s">
        <v>430</v>
      </c>
      <c r="M1216">
        <v>0.10956249999999999</v>
      </c>
      <c r="N1216" t="s">
        <v>411</v>
      </c>
      <c r="O1216">
        <v>7.3612960000000005E-2</v>
      </c>
      <c r="P1216" t="s">
        <v>314</v>
      </c>
      <c r="Q1216" s="4">
        <v>5.6639033999999998E-2</v>
      </c>
      <c r="R1216" t="s">
        <v>784</v>
      </c>
      <c r="S1216">
        <v>0.16044534999999999</v>
      </c>
      <c r="T1216" t="s">
        <v>749</v>
      </c>
      <c r="U1216">
        <v>0.1017491</v>
      </c>
      <c r="V1216" t="s">
        <v>314</v>
      </c>
      <c r="W1216">
        <v>4.5495679999999997E-2</v>
      </c>
    </row>
    <row r="1217" spans="1:23" x14ac:dyDescent="0.25">
      <c r="A1217" s="3" t="str">
        <f>HYPERLINK("http://ids.si.edu/ids/deliveryService?id=NMAH-ET2017-12125-000001","NMAH-ET2017-12125-000001")</f>
        <v>NMAH-ET2017-12125-000001</v>
      </c>
      <c r="B1217" s="3" t="s">
        <v>2826</v>
      </c>
      <c r="C1217" s="3">
        <v>528603</v>
      </c>
      <c r="D1217" s="3" t="s">
        <v>1512</v>
      </c>
      <c r="E1217" s="4" t="s">
        <v>469</v>
      </c>
      <c r="F1217" t="s">
        <v>603</v>
      </c>
      <c r="G1217">
        <v>0.98663574457168579</v>
      </c>
      <c r="H1217" t="s">
        <v>1124</v>
      </c>
      <c r="I1217">
        <v>0.98190426826477051</v>
      </c>
      <c r="J1217" t="s">
        <v>1529</v>
      </c>
      <c r="K1217" s="4">
        <v>0.97431051731109619</v>
      </c>
      <c r="L1217" t="s">
        <v>362</v>
      </c>
      <c r="M1217">
        <v>0.32709824999999998</v>
      </c>
      <c r="N1217" t="s">
        <v>358</v>
      </c>
      <c r="O1217">
        <v>0.17510913</v>
      </c>
      <c r="P1217" t="s">
        <v>461</v>
      </c>
      <c r="Q1217" s="4">
        <v>9.0436459999999996E-2</v>
      </c>
      <c r="R1217" t="s">
        <v>338</v>
      </c>
      <c r="S1217">
        <v>0.23275171</v>
      </c>
      <c r="T1217" t="s">
        <v>1454</v>
      </c>
      <c r="U1217">
        <v>0.14494214999999999</v>
      </c>
      <c r="V1217" t="s">
        <v>765</v>
      </c>
      <c r="W1217">
        <v>0.10148426000000001</v>
      </c>
    </row>
    <row r="1218" spans="1:23" x14ac:dyDescent="0.25">
      <c r="A1218" s="3" t="str">
        <f>HYPERLINK("http://ids.si.edu/ids/deliveryService?id=NMAH-ET2016-12201","NMAH-ET2016-12201")</f>
        <v>NMAH-ET2016-12201</v>
      </c>
      <c r="B1218" s="3" t="s">
        <v>2827</v>
      </c>
      <c r="C1218" s="3">
        <v>492686</v>
      </c>
      <c r="D1218" s="3" t="s">
        <v>1512</v>
      </c>
      <c r="E1218" s="4" t="s">
        <v>2828</v>
      </c>
      <c r="F1218" t="s">
        <v>61</v>
      </c>
      <c r="G1218">
        <v>0.89724308252334595</v>
      </c>
      <c r="H1218" t="s">
        <v>1576</v>
      </c>
      <c r="I1218">
        <v>0.86243069171905518</v>
      </c>
      <c r="J1218" t="s">
        <v>2006</v>
      </c>
      <c r="K1218" s="4">
        <v>0.7616887092590332</v>
      </c>
      <c r="L1218" t="s">
        <v>29</v>
      </c>
      <c r="M1218">
        <v>0.18356444</v>
      </c>
      <c r="N1218" t="s">
        <v>79</v>
      </c>
      <c r="O1218">
        <v>0.16855602</v>
      </c>
      <c r="P1218" t="s">
        <v>129</v>
      </c>
      <c r="Q1218" s="4">
        <v>0.14447710999999999</v>
      </c>
      <c r="R1218" t="s">
        <v>66</v>
      </c>
      <c r="S1218">
        <v>0.42942112999999998</v>
      </c>
      <c r="T1218" t="s">
        <v>29</v>
      </c>
      <c r="U1218">
        <v>0.14585050999999999</v>
      </c>
      <c r="V1218" t="s">
        <v>65</v>
      </c>
      <c r="W1218">
        <v>5.9365380000000002E-2</v>
      </c>
    </row>
    <row r="1219" spans="1:23" x14ac:dyDescent="0.25">
      <c r="A1219" s="3" t="str">
        <f>HYPERLINK("http://ids.si.edu/ids/deliveryService?id=NMAH-ET2015-11575","NMAH-ET2015-11575")</f>
        <v>NMAH-ET2015-11575</v>
      </c>
      <c r="B1219" s="3" t="s">
        <v>2829</v>
      </c>
      <c r="C1219" s="3">
        <v>516788</v>
      </c>
      <c r="D1219" s="3" t="s">
        <v>1512</v>
      </c>
      <c r="E1219" s="4" t="s">
        <v>2830</v>
      </c>
      <c r="F1219" t="s">
        <v>281</v>
      </c>
      <c r="G1219">
        <v>0.51874005794525146</v>
      </c>
      <c r="H1219" t="s">
        <v>486</v>
      </c>
      <c r="I1219">
        <v>0.5052109956741333</v>
      </c>
      <c r="L1219" t="s">
        <v>405</v>
      </c>
      <c r="M1219">
        <v>0.103775226</v>
      </c>
      <c r="N1219" t="s">
        <v>2831</v>
      </c>
      <c r="O1219">
        <v>6.5702899999999995E-2</v>
      </c>
      <c r="P1219" t="s">
        <v>185</v>
      </c>
      <c r="Q1219" s="4">
        <v>5.7202167999999998E-2</v>
      </c>
      <c r="R1219" t="s">
        <v>141</v>
      </c>
      <c r="S1219">
        <v>0.15861613999999999</v>
      </c>
      <c r="T1219" t="s">
        <v>53</v>
      </c>
      <c r="U1219">
        <v>0.11440692</v>
      </c>
      <c r="V1219" t="s">
        <v>151</v>
      </c>
      <c r="W1219">
        <v>6.1950628000000001E-2</v>
      </c>
    </row>
    <row r="1220" spans="1:23" x14ac:dyDescent="0.25">
      <c r="A1220" s="3" t="str">
        <f>HYPERLINK("http://ids.si.edu/ids/deliveryService?id=NMAH-AHB2017q021047","NMAH-AHB2017q021047")</f>
        <v>NMAH-AHB2017q021047</v>
      </c>
      <c r="B1220" s="3" t="s">
        <v>2832</v>
      </c>
      <c r="C1220" s="3">
        <v>1761695</v>
      </c>
      <c r="D1220" s="3" t="s">
        <v>1512</v>
      </c>
      <c r="E1220" s="4" t="s">
        <v>842</v>
      </c>
      <c r="F1220" t="s">
        <v>486</v>
      </c>
      <c r="G1220">
        <v>0.80082958936691284</v>
      </c>
      <c r="H1220" t="s">
        <v>112</v>
      </c>
      <c r="I1220">
        <v>0.68572378158569336</v>
      </c>
      <c r="J1220" t="s">
        <v>103</v>
      </c>
      <c r="K1220" s="4">
        <v>0.65779292583465576</v>
      </c>
      <c r="L1220" t="s">
        <v>443</v>
      </c>
      <c r="M1220">
        <v>0.30758664000000002</v>
      </c>
      <c r="N1220" t="s">
        <v>523</v>
      </c>
      <c r="O1220">
        <v>0.14328983000000001</v>
      </c>
      <c r="P1220" t="s">
        <v>1184</v>
      </c>
      <c r="Q1220" s="4">
        <v>6.5058270000000001E-2</v>
      </c>
      <c r="R1220" t="s">
        <v>121</v>
      </c>
      <c r="S1220">
        <v>0.29868555000000002</v>
      </c>
      <c r="T1220" t="s">
        <v>334</v>
      </c>
      <c r="U1220">
        <v>0.11306188</v>
      </c>
      <c r="V1220" t="s">
        <v>122</v>
      </c>
      <c r="W1220">
        <v>6.2438519999999997E-2</v>
      </c>
    </row>
    <row r="1221" spans="1:23" x14ac:dyDescent="0.25">
      <c r="A1221" s="3" t="str">
        <f>HYPERLINK("http://ids.si.edu/ids/deliveryService?id=SIA-2000-3209","SIA-2000-3209")</f>
        <v>SIA-2000-3209</v>
      </c>
      <c r="B1221" s="3" t="s">
        <v>2833</v>
      </c>
      <c r="C1221" s="3">
        <v>513641</v>
      </c>
      <c r="D1221" s="3" t="s">
        <v>1512</v>
      </c>
      <c r="E1221" s="4" t="s">
        <v>2834</v>
      </c>
      <c r="F1221" t="s">
        <v>147</v>
      </c>
      <c r="G1221">
        <v>0.9641457200050354</v>
      </c>
      <c r="H1221" t="s">
        <v>256</v>
      </c>
      <c r="I1221">
        <v>0.83146315813064575</v>
      </c>
      <c r="J1221" t="s">
        <v>178</v>
      </c>
      <c r="K1221" s="4">
        <v>0.63240146636962891</v>
      </c>
      <c r="L1221" t="s">
        <v>673</v>
      </c>
      <c r="M1221">
        <v>0.57775519999999991</v>
      </c>
      <c r="N1221" t="s">
        <v>184</v>
      </c>
      <c r="O1221">
        <v>0.31334096</v>
      </c>
      <c r="P1221" t="s">
        <v>95</v>
      </c>
      <c r="Q1221" s="4">
        <v>3.5416036999999997E-2</v>
      </c>
      <c r="R1221" t="s">
        <v>184</v>
      </c>
      <c r="S1221">
        <v>0.82979714999999998</v>
      </c>
      <c r="T1221" t="s">
        <v>673</v>
      </c>
      <c r="U1221">
        <v>0.12888794000000001</v>
      </c>
      <c r="V1221" t="s">
        <v>148</v>
      </c>
      <c r="W1221">
        <v>2.0924158000000002E-2</v>
      </c>
    </row>
    <row r="1222" spans="1:23" x14ac:dyDescent="0.25">
      <c r="A1222" s="3" t="str">
        <f>HYPERLINK("http://ids.si.edu/ids/deliveryService?id=NMAH-2000-4144","NMAH-2000-4144")</f>
        <v>NMAH-2000-4144</v>
      </c>
      <c r="B1222" s="3" t="s">
        <v>2835</v>
      </c>
      <c r="C1222" s="3">
        <v>516393</v>
      </c>
      <c r="D1222" s="3" t="s">
        <v>1512</v>
      </c>
      <c r="E1222" s="4" t="s">
        <v>360</v>
      </c>
      <c r="F1222" t="s">
        <v>272</v>
      </c>
      <c r="G1222">
        <v>0.90030944347381592</v>
      </c>
      <c r="H1222" t="s">
        <v>132</v>
      </c>
      <c r="I1222">
        <v>0.86494487524032593</v>
      </c>
      <c r="J1222" t="s">
        <v>196</v>
      </c>
      <c r="K1222" s="4">
        <v>0.85165160894393921</v>
      </c>
      <c r="L1222" t="s">
        <v>2320</v>
      </c>
      <c r="M1222">
        <v>9.3783039999999998E-2</v>
      </c>
      <c r="N1222" t="s">
        <v>209</v>
      </c>
      <c r="O1222">
        <v>8.4889610000000004E-2</v>
      </c>
      <c r="P1222" t="s">
        <v>1791</v>
      </c>
      <c r="Q1222" s="4">
        <v>6.4723290000000003E-2</v>
      </c>
      <c r="R1222" t="s">
        <v>2242</v>
      </c>
      <c r="S1222">
        <v>0.63608617000000001</v>
      </c>
      <c r="T1222" t="s">
        <v>97</v>
      </c>
      <c r="U1222">
        <v>3.8051889999999998E-2</v>
      </c>
      <c r="V1222" t="s">
        <v>2836</v>
      </c>
      <c r="W1222">
        <v>2.7986348000000001E-2</v>
      </c>
    </row>
    <row r="1223" spans="1:23" x14ac:dyDescent="0.25">
      <c r="A1223" s="3" t="str">
        <f>HYPERLINK("http://ids.si.edu/ids/deliveryService?id=SIA-98-3879-000001","SIA-98-3879-000001")</f>
        <v>SIA-98-3879-000001</v>
      </c>
      <c r="B1223" s="3" t="s">
        <v>2837</v>
      </c>
      <c r="C1223" s="3">
        <v>515403</v>
      </c>
      <c r="D1223" s="3" t="s">
        <v>1512</v>
      </c>
      <c r="E1223" s="4" t="s">
        <v>2777</v>
      </c>
      <c r="F1223" t="s">
        <v>91</v>
      </c>
      <c r="G1223">
        <v>0.88283330202102661</v>
      </c>
      <c r="H1223" t="s">
        <v>535</v>
      </c>
      <c r="I1223">
        <v>0.64806491136550903</v>
      </c>
      <c r="J1223" t="s">
        <v>2838</v>
      </c>
      <c r="K1223" s="4">
        <v>0.56372678279876709</v>
      </c>
      <c r="L1223" t="s">
        <v>1215</v>
      </c>
      <c r="M1223">
        <v>0.57706654000000002</v>
      </c>
      <c r="N1223" t="s">
        <v>214</v>
      </c>
      <c r="O1223">
        <v>0.10900425</v>
      </c>
      <c r="P1223" t="s">
        <v>87</v>
      </c>
      <c r="Q1223" s="4">
        <v>5.0167469999999999E-2</v>
      </c>
      <c r="R1223" t="s">
        <v>1215</v>
      </c>
      <c r="S1223">
        <v>0.50879259999999993</v>
      </c>
      <c r="T1223" t="s">
        <v>495</v>
      </c>
      <c r="U1223">
        <v>0.19523898000000001</v>
      </c>
      <c r="V1223" t="s">
        <v>83</v>
      </c>
      <c r="W1223">
        <v>5.7102803000000001E-2</v>
      </c>
    </row>
    <row r="1224" spans="1:23" x14ac:dyDescent="0.25">
      <c r="A1224" s="3" t="str">
        <f>HYPERLINK("http://ids.si.edu/ids/deliveryService?id=SIA-2001-60959","SIA-2001-60959")</f>
        <v>SIA-2001-60959</v>
      </c>
      <c r="B1224" s="3" t="s">
        <v>2839</v>
      </c>
      <c r="C1224" s="3">
        <v>1359567</v>
      </c>
      <c r="D1224" s="3" t="s">
        <v>1512</v>
      </c>
      <c r="E1224" s="4" t="s">
        <v>2840</v>
      </c>
      <c r="F1224" t="s">
        <v>91</v>
      </c>
      <c r="G1224">
        <v>0.9462587833404541</v>
      </c>
      <c r="H1224" t="s">
        <v>727</v>
      </c>
      <c r="I1224">
        <v>0.71392285823822021</v>
      </c>
      <c r="J1224" t="s">
        <v>2841</v>
      </c>
      <c r="K1224" s="4">
        <v>0.54320597648620605</v>
      </c>
      <c r="L1224" t="s">
        <v>330</v>
      </c>
      <c r="M1224">
        <v>0.22090222000000001</v>
      </c>
      <c r="N1224" t="s">
        <v>878</v>
      </c>
      <c r="O1224">
        <v>0.16522579000000001</v>
      </c>
      <c r="P1224" t="s">
        <v>225</v>
      </c>
      <c r="Q1224" s="4">
        <v>0.12057884000000001</v>
      </c>
      <c r="R1224" t="s">
        <v>639</v>
      </c>
      <c r="S1224">
        <v>0.27516276000000001</v>
      </c>
      <c r="T1224" t="s">
        <v>225</v>
      </c>
      <c r="U1224">
        <v>0.18744688000000001</v>
      </c>
      <c r="V1224" t="s">
        <v>2429</v>
      </c>
      <c r="W1224">
        <v>0.17541090000000001</v>
      </c>
    </row>
    <row r="1225" spans="1:23" x14ac:dyDescent="0.25">
      <c r="A1225" s="3" t="str">
        <f>HYPERLINK("http://ids.si.edu/ids/deliveryService?id=NMAH-ET2016-02654","NMAH-ET2016-02654")</f>
        <v>NMAH-ET2016-02654</v>
      </c>
      <c r="B1225" s="3" t="s">
        <v>2842</v>
      </c>
      <c r="C1225" s="3">
        <v>530070</v>
      </c>
      <c r="D1225" s="3" t="s">
        <v>1512</v>
      </c>
      <c r="E1225" s="4" t="s">
        <v>146</v>
      </c>
      <c r="F1225" t="s">
        <v>1108</v>
      </c>
      <c r="G1225">
        <v>0.9019089937210083</v>
      </c>
      <c r="H1225" t="s">
        <v>147</v>
      </c>
      <c r="I1225">
        <v>0.8586762547492981</v>
      </c>
      <c r="J1225" t="s">
        <v>1459</v>
      </c>
      <c r="K1225" s="4">
        <v>0.77707421779632568</v>
      </c>
      <c r="L1225" t="s">
        <v>673</v>
      </c>
      <c r="M1225">
        <v>0.79779899999999992</v>
      </c>
      <c r="N1225" t="s">
        <v>45</v>
      </c>
      <c r="O1225">
        <v>4.6476855999999997E-2</v>
      </c>
      <c r="P1225" t="s">
        <v>184</v>
      </c>
      <c r="Q1225" s="4">
        <v>3.2898272999999999E-2</v>
      </c>
      <c r="R1225" t="s">
        <v>673</v>
      </c>
      <c r="S1225">
        <v>0.1887122</v>
      </c>
      <c r="T1225" t="s">
        <v>184</v>
      </c>
      <c r="U1225">
        <v>0.13216454</v>
      </c>
      <c r="V1225" t="s">
        <v>45</v>
      </c>
      <c r="W1225">
        <v>0.10099610000000001</v>
      </c>
    </row>
    <row r="1226" spans="1:23" x14ac:dyDescent="0.25">
      <c r="A1226" s="3" t="str">
        <f>HYPERLINK("http://ids.si.edu/ids/deliveryService?id=NMAH-AHB2014q013132","NMAH-AHB2014q013132")</f>
        <v>NMAH-AHB2014q013132</v>
      </c>
      <c r="B1226" s="3" t="s">
        <v>2843</v>
      </c>
      <c r="C1226" s="3">
        <v>529104</v>
      </c>
      <c r="D1226" s="3" t="s">
        <v>1512</v>
      </c>
      <c r="E1226" s="4" t="s">
        <v>740</v>
      </c>
      <c r="F1226" t="s">
        <v>61</v>
      </c>
      <c r="G1226">
        <v>0.86929196119308472</v>
      </c>
      <c r="H1226" t="s">
        <v>50</v>
      </c>
      <c r="I1226">
        <v>0.60706108808517456</v>
      </c>
      <c r="L1226" t="s">
        <v>426</v>
      </c>
      <c r="M1226">
        <v>0.62040690000000009</v>
      </c>
      <c r="N1226" t="s">
        <v>65</v>
      </c>
      <c r="O1226">
        <v>0.31160638000000002</v>
      </c>
      <c r="P1226" t="s">
        <v>79</v>
      </c>
      <c r="Q1226" s="4">
        <v>1.6915112999999999E-2</v>
      </c>
      <c r="R1226" t="s">
        <v>426</v>
      </c>
      <c r="S1226">
        <v>0.26341831999999998</v>
      </c>
      <c r="T1226" t="s">
        <v>65</v>
      </c>
      <c r="U1226">
        <v>0.21982615</v>
      </c>
      <c r="V1226" t="s">
        <v>79</v>
      </c>
      <c r="W1226">
        <v>0.13576940000000001</v>
      </c>
    </row>
    <row r="1227" spans="1:23" x14ac:dyDescent="0.25">
      <c r="A1227" s="3" t="str">
        <f>HYPERLINK("http://ids.si.edu/ids/deliveryService?id=NMAH-AHB2017q021005","NMAH-AHB2017q021005")</f>
        <v>NMAH-AHB2017q021005</v>
      </c>
      <c r="B1227" s="3" t="s">
        <v>2844</v>
      </c>
      <c r="C1227" s="3">
        <v>538030</v>
      </c>
      <c r="D1227" s="3" t="s">
        <v>1512</v>
      </c>
      <c r="E1227" s="4" t="s">
        <v>842</v>
      </c>
      <c r="F1227" t="s">
        <v>1392</v>
      </c>
      <c r="G1227">
        <v>0.93793779611587524</v>
      </c>
      <c r="H1227" t="s">
        <v>1224</v>
      </c>
      <c r="I1227">
        <v>0.89978408813476563</v>
      </c>
      <c r="J1227" t="s">
        <v>1254</v>
      </c>
      <c r="K1227" s="4">
        <v>0.89812999963760376</v>
      </c>
      <c r="L1227" t="s">
        <v>813</v>
      </c>
      <c r="M1227">
        <v>0.22190699</v>
      </c>
      <c r="N1227" t="s">
        <v>189</v>
      </c>
      <c r="O1227">
        <v>8.3074019999999998E-2</v>
      </c>
      <c r="P1227" t="s">
        <v>151</v>
      </c>
      <c r="Q1227" s="4">
        <v>4.8985846E-2</v>
      </c>
      <c r="R1227" t="s">
        <v>813</v>
      </c>
      <c r="S1227">
        <v>0.70736915</v>
      </c>
      <c r="T1227" t="s">
        <v>303</v>
      </c>
      <c r="U1227">
        <v>6.2066764000000003E-2</v>
      </c>
      <c r="V1227" t="s">
        <v>443</v>
      </c>
      <c r="W1227">
        <v>4.6174496000000002E-2</v>
      </c>
    </row>
    <row r="1228" spans="1:23" x14ac:dyDescent="0.25">
      <c r="A1228" s="3" t="str">
        <f>HYPERLINK("http://ids.si.edu/ids/deliveryService?id=NMAH-ET2016-02626","NMAH-ET2016-02626")</f>
        <v>NMAH-ET2016-02626</v>
      </c>
      <c r="B1228" s="3" t="s">
        <v>2845</v>
      </c>
      <c r="C1228" s="3">
        <v>1391530</v>
      </c>
      <c r="D1228" s="3" t="s">
        <v>1512</v>
      </c>
      <c r="E1228" s="4" t="s">
        <v>2846</v>
      </c>
      <c r="F1228" t="s">
        <v>2847</v>
      </c>
      <c r="G1228">
        <v>0.98550713062286377</v>
      </c>
      <c r="H1228" t="s">
        <v>2848</v>
      </c>
      <c r="I1228">
        <v>0.98130840063095093</v>
      </c>
      <c r="J1228" t="s">
        <v>2849</v>
      </c>
      <c r="K1228" s="4">
        <v>0.97916668653488159</v>
      </c>
      <c r="L1228" t="s">
        <v>572</v>
      </c>
      <c r="M1228">
        <v>0.20593344999999999</v>
      </c>
      <c r="N1228" t="s">
        <v>53</v>
      </c>
      <c r="O1228">
        <v>0.16115187</v>
      </c>
      <c r="P1228" t="s">
        <v>784</v>
      </c>
      <c r="Q1228" s="4">
        <v>9.1021635000000004E-2</v>
      </c>
      <c r="R1228" t="s">
        <v>411</v>
      </c>
      <c r="S1228">
        <v>0.53090685999999998</v>
      </c>
      <c r="T1228" t="s">
        <v>314</v>
      </c>
      <c r="U1228">
        <v>0.13802487999999999</v>
      </c>
      <c r="V1228" t="s">
        <v>620</v>
      </c>
      <c r="W1228">
        <v>0.11824496</v>
      </c>
    </row>
    <row r="1229" spans="1:23" x14ac:dyDescent="0.25">
      <c r="A1229" s="3" t="str">
        <f>HYPERLINK("http://ids.si.edu/ids/deliveryService?id=NMAH-ET2012-14146","NMAH-ET2012-14146")</f>
        <v>NMAH-ET2012-14146</v>
      </c>
      <c r="B1229" s="3" t="s">
        <v>2850</v>
      </c>
      <c r="C1229" s="3">
        <v>529193</v>
      </c>
      <c r="D1229" s="3" t="s">
        <v>1512</v>
      </c>
      <c r="E1229" s="4" t="s">
        <v>2851</v>
      </c>
      <c r="F1229" t="s">
        <v>2852</v>
      </c>
      <c r="G1229">
        <v>0.72009366750717163</v>
      </c>
      <c r="H1229" t="s">
        <v>2285</v>
      </c>
      <c r="I1229">
        <v>0.66232031583786011</v>
      </c>
      <c r="J1229" t="s">
        <v>558</v>
      </c>
      <c r="K1229" s="4">
        <v>0.62088340520858765</v>
      </c>
      <c r="L1229" t="s">
        <v>53</v>
      </c>
      <c r="M1229">
        <v>0.98696240000000002</v>
      </c>
      <c r="N1229" t="s">
        <v>245</v>
      </c>
      <c r="O1229">
        <v>2.7294715E-3</v>
      </c>
      <c r="P1229" t="s">
        <v>52</v>
      </c>
      <c r="Q1229" s="4">
        <v>1.5912639E-3</v>
      </c>
      <c r="R1229" t="s">
        <v>53</v>
      </c>
      <c r="S1229">
        <v>0.83087164000000002</v>
      </c>
      <c r="T1229" t="s">
        <v>83</v>
      </c>
      <c r="U1229">
        <v>2.3526064999999999E-2</v>
      </c>
      <c r="V1229" t="s">
        <v>52</v>
      </c>
      <c r="W1229">
        <v>2.1996670999999999E-2</v>
      </c>
    </row>
    <row r="1230" spans="1:23" x14ac:dyDescent="0.25">
      <c r="A1230" s="3" t="str">
        <f>HYPERLINK("http://ids.si.edu/ids/deliveryService?id=NMAH-AHB2017q021028","NMAH-AHB2017q021028")</f>
        <v>NMAH-AHB2017q021028</v>
      </c>
      <c r="B1230" s="3" t="s">
        <v>2853</v>
      </c>
      <c r="C1230" s="3">
        <v>1001131</v>
      </c>
      <c r="D1230" s="3" t="s">
        <v>1512</v>
      </c>
      <c r="E1230" s="4" t="s">
        <v>842</v>
      </c>
      <c r="F1230" t="s">
        <v>1224</v>
      </c>
      <c r="G1230">
        <v>0.72593861818313599</v>
      </c>
      <c r="H1230" t="s">
        <v>196</v>
      </c>
      <c r="I1230">
        <v>0.70026475191116333</v>
      </c>
      <c r="J1230" t="s">
        <v>2854</v>
      </c>
      <c r="K1230" s="4">
        <v>0.61955505609512329</v>
      </c>
      <c r="L1230" t="s">
        <v>813</v>
      </c>
      <c r="M1230">
        <v>0.88956800000000003</v>
      </c>
      <c r="N1230" t="s">
        <v>303</v>
      </c>
      <c r="O1230">
        <v>2.4787021999999999E-2</v>
      </c>
      <c r="P1230" t="s">
        <v>572</v>
      </c>
      <c r="Q1230" s="4">
        <v>1.1516537E-2</v>
      </c>
      <c r="R1230" t="s">
        <v>813</v>
      </c>
      <c r="S1230">
        <v>0.18073262000000001</v>
      </c>
      <c r="T1230" t="s">
        <v>303</v>
      </c>
      <c r="U1230">
        <v>0.16876975</v>
      </c>
      <c r="V1230" t="s">
        <v>209</v>
      </c>
      <c r="W1230">
        <v>8.4692569999999995E-2</v>
      </c>
    </row>
    <row r="1231" spans="1:23" x14ac:dyDescent="0.25">
      <c r="A1231" s="3" t="str">
        <f>HYPERLINK("http://ids.si.edu/ids/deliveryService?id=NMAH-ET2016-05251","NMAH-ET2016-05251")</f>
        <v>NMAH-ET2016-05251</v>
      </c>
      <c r="B1231" s="3" t="s">
        <v>2855</v>
      </c>
      <c r="C1231" s="3">
        <v>1169126</v>
      </c>
      <c r="D1231" s="3" t="s">
        <v>1512</v>
      </c>
      <c r="E1231" s="4" t="s">
        <v>2856</v>
      </c>
      <c r="F1231" t="s">
        <v>61</v>
      </c>
      <c r="G1231">
        <v>0.92437785863876343</v>
      </c>
      <c r="H1231" t="s">
        <v>112</v>
      </c>
      <c r="I1231">
        <v>0.68572378158569336</v>
      </c>
      <c r="J1231" t="s">
        <v>220</v>
      </c>
      <c r="K1231" s="4">
        <v>0.6277429461479187</v>
      </c>
      <c r="L1231" t="s">
        <v>65</v>
      </c>
      <c r="M1231">
        <v>0.81222329999999998</v>
      </c>
      <c r="N1231" t="s">
        <v>460</v>
      </c>
      <c r="O1231">
        <v>2.713105E-2</v>
      </c>
      <c r="P1231" t="s">
        <v>209</v>
      </c>
      <c r="Q1231" s="4">
        <v>2.2606340999999999E-2</v>
      </c>
      <c r="R1231" t="s">
        <v>65</v>
      </c>
      <c r="S1231">
        <v>0.33429199999999998</v>
      </c>
      <c r="T1231" t="s">
        <v>129</v>
      </c>
      <c r="U1231">
        <v>0.20646755</v>
      </c>
      <c r="V1231" t="s">
        <v>29</v>
      </c>
      <c r="W1231">
        <v>0.13416534999999999</v>
      </c>
    </row>
    <row r="1232" spans="1:23" x14ac:dyDescent="0.25">
      <c r="A1232" s="3" t="str">
        <f>HYPERLINK("http://ids.si.edu/ids/deliveryService?id=NMAH-RWS2014-02461","NMAH-RWS2014-02461")</f>
        <v>NMAH-RWS2014-02461</v>
      </c>
      <c r="B1232" s="3" t="s">
        <v>2857</v>
      </c>
      <c r="C1232" s="3">
        <v>1329556</v>
      </c>
      <c r="D1232" s="3" t="s">
        <v>1512</v>
      </c>
      <c r="E1232" s="4" t="s">
        <v>125</v>
      </c>
      <c r="F1232" t="s">
        <v>112</v>
      </c>
      <c r="G1232">
        <v>0.94513922929763794</v>
      </c>
      <c r="H1232" t="s">
        <v>1513</v>
      </c>
      <c r="I1232">
        <v>0.93120694160461426</v>
      </c>
      <c r="J1232" t="s">
        <v>61</v>
      </c>
      <c r="K1232" s="4">
        <v>0.91213947534561157</v>
      </c>
      <c r="L1232" t="s">
        <v>499</v>
      </c>
      <c r="M1232">
        <v>0.31595314000000002</v>
      </c>
      <c r="N1232" t="s">
        <v>303</v>
      </c>
      <c r="O1232">
        <v>0.15872931000000001</v>
      </c>
      <c r="P1232" t="s">
        <v>405</v>
      </c>
      <c r="Q1232" s="4">
        <v>7.0650409999999997E-2</v>
      </c>
      <c r="R1232" t="s">
        <v>644</v>
      </c>
      <c r="S1232">
        <v>0.10603583599999999</v>
      </c>
      <c r="T1232" t="s">
        <v>303</v>
      </c>
      <c r="U1232">
        <v>0.10301445400000001</v>
      </c>
      <c r="V1232" t="s">
        <v>689</v>
      </c>
      <c r="W1232">
        <v>6.7227060000000005E-2</v>
      </c>
    </row>
    <row r="1233" spans="1:23" x14ac:dyDescent="0.25">
      <c r="A1233" s="3" t="str">
        <f>HYPERLINK("http://ids.si.edu/ids/deliveryService?id=NMAH-RWS2014-02468","NMAH-RWS2014-02468")</f>
        <v>NMAH-RWS2014-02468</v>
      </c>
      <c r="B1233" s="3" t="s">
        <v>2858</v>
      </c>
      <c r="C1233" s="3">
        <v>1074314</v>
      </c>
      <c r="D1233" s="3" t="s">
        <v>1512</v>
      </c>
      <c r="E1233" s="4" t="s">
        <v>125</v>
      </c>
      <c r="F1233" t="s">
        <v>603</v>
      </c>
      <c r="G1233">
        <v>0.93541043996810913</v>
      </c>
      <c r="H1233" t="s">
        <v>196</v>
      </c>
      <c r="I1233">
        <v>0.87164711952209473</v>
      </c>
      <c r="J1233" t="s">
        <v>61</v>
      </c>
      <c r="K1233" s="4">
        <v>0.86929196119308472</v>
      </c>
      <c r="L1233" t="s">
        <v>405</v>
      </c>
      <c r="M1233">
        <v>0.53976064999999995</v>
      </c>
      <c r="N1233" t="s">
        <v>501</v>
      </c>
      <c r="O1233">
        <v>0.45571719999999999</v>
      </c>
      <c r="P1233" t="s">
        <v>782</v>
      </c>
      <c r="Q1233" s="4">
        <v>1.2100063999999999E-3</v>
      </c>
      <c r="R1233" t="s">
        <v>303</v>
      </c>
      <c r="S1233">
        <v>0.23618901</v>
      </c>
      <c r="T1233" t="s">
        <v>405</v>
      </c>
      <c r="U1233">
        <v>0.19377530000000001</v>
      </c>
      <c r="V1233" t="s">
        <v>134</v>
      </c>
      <c r="W1233">
        <v>3.7747679999999999E-2</v>
      </c>
    </row>
    <row r="1234" spans="1:23" x14ac:dyDescent="0.25">
      <c r="A1234" s="3" t="str">
        <f>HYPERLINK("http://ids.si.edu/ids/deliveryService?id=NMAH-AHB2016q013048","NMAH-AHB2016q013048")</f>
        <v>NMAH-AHB2016q013048</v>
      </c>
      <c r="B1234" s="3" t="s">
        <v>2859</v>
      </c>
      <c r="C1234" s="3">
        <v>527230</v>
      </c>
      <c r="D1234" s="3" t="s">
        <v>1512</v>
      </c>
      <c r="E1234" s="4" t="s">
        <v>1555</v>
      </c>
      <c r="F1234" t="s">
        <v>2860</v>
      </c>
      <c r="G1234">
        <v>0.87681347131729126</v>
      </c>
      <c r="H1234" t="s">
        <v>519</v>
      </c>
      <c r="I1234">
        <v>0.85357886552810669</v>
      </c>
      <c r="J1234" t="s">
        <v>2214</v>
      </c>
      <c r="K1234" s="4">
        <v>0.84529787302017212</v>
      </c>
      <c r="L1234" t="s">
        <v>65</v>
      </c>
      <c r="M1234">
        <v>0.64146256000000001</v>
      </c>
      <c r="N1234" t="s">
        <v>129</v>
      </c>
      <c r="O1234">
        <v>0.21811889000000001</v>
      </c>
      <c r="P1234" t="s">
        <v>460</v>
      </c>
      <c r="Q1234" s="4">
        <v>5.3476244000000013E-2</v>
      </c>
      <c r="R1234" t="s">
        <v>65</v>
      </c>
      <c r="S1234">
        <v>0.84569996999999997</v>
      </c>
      <c r="T1234" t="s">
        <v>129</v>
      </c>
      <c r="U1234">
        <v>9.8200395999999995E-2</v>
      </c>
      <c r="V1234" t="s">
        <v>484</v>
      </c>
      <c r="W1234">
        <v>1.3533257E-2</v>
      </c>
    </row>
    <row r="1235" spans="1:23" x14ac:dyDescent="0.25">
      <c r="A1235" s="3" t="str">
        <f>HYPERLINK("http://ids.si.edu/ids/deliveryService?id=NMAH-AHB2016q013081","NMAH-AHB2016q013081")</f>
        <v>NMAH-AHB2016q013081</v>
      </c>
      <c r="B1235" s="3" t="s">
        <v>2861</v>
      </c>
      <c r="C1235" s="3">
        <v>1122012</v>
      </c>
      <c r="D1235" s="3" t="s">
        <v>1512</v>
      </c>
      <c r="E1235" s="4" t="s">
        <v>2804</v>
      </c>
      <c r="F1235" t="s">
        <v>61</v>
      </c>
      <c r="G1235">
        <v>0.93249768018722534</v>
      </c>
      <c r="H1235" t="s">
        <v>220</v>
      </c>
      <c r="I1235">
        <v>0.5699952244758606</v>
      </c>
      <c r="J1235" t="s">
        <v>447</v>
      </c>
      <c r="K1235" s="4">
        <v>0.55715835094451904</v>
      </c>
      <c r="L1235" t="s">
        <v>65</v>
      </c>
      <c r="M1235">
        <v>0.80246169999999994</v>
      </c>
      <c r="N1235" t="s">
        <v>209</v>
      </c>
      <c r="O1235">
        <v>6.4066999999999999E-2</v>
      </c>
      <c r="P1235" t="s">
        <v>66</v>
      </c>
      <c r="Q1235" s="4">
        <v>5.5056553000000001E-2</v>
      </c>
      <c r="R1235" t="s">
        <v>65</v>
      </c>
      <c r="S1235">
        <v>0.69834879999999999</v>
      </c>
      <c r="T1235" t="s">
        <v>66</v>
      </c>
      <c r="U1235">
        <v>9.1512010000000005E-2</v>
      </c>
      <c r="V1235" t="s">
        <v>312</v>
      </c>
      <c r="W1235">
        <v>5.3044266999999999E-2</v>
      </c>
    </row>
    <row r="1236" spans="1:23" x14ac:dyDescent="0.25">
      <c r="A1236" s="3" t="str">
        <f>HYPERLINK("http://ids.si.edu/ids/deliveryService?id=NMAH-RWS2015-04601","NMAH-RWS2015-04601")</f>
        <v>NMAH-RWS2015-04601</v>
      </c>
      <c r="B1236" s="3" t="s">
        <v>2862</v>
      </c>
      <c r="C1236" s="3">
        <v>1316492</v>
      </c>
      <c r="D1236" s="3" t="s">
        <v>1512</v>
      </c>
      <c r="E1236" s="4" t="s">
        <v>2863</v>
      </c>
      <c r="F1236" t="s">
        <v>61</v>
      </c>
      <c r="G1236">
        <v>0.9722367525100708</v>
      </c>
      <c r="H1236" t="s">
        <v>112</v>
      </c>
      <c r="I1236">
        <v>0.94359505176544189</v>
      </c>
      <c r="J1236" t="s">
        <v>75</v>
      </c>
      <c r="K1236" s="4">
        <v>0.77226358652114868</v>
      </c>
      <c r="L1236" t="s">
        <v>405</v>
      </c>
      <c r="M1236">
        <v>0.19751485999999999</v>
      </c>
      <c r="N1236" t="s">
        <v>65</v>
      </c>
      <c r="O1236">
        <v>0.10697912399999999</v>
      </c>
      <c r="P1236" t="s">
        <v>426</v>
      </c>
      <c r="Q1236" s="4">
        <v>0.10016369</v>
      </c>
      <c r="R1236" t="s">
        <v>65</v>
      </c>
      <c r="S1236">
        <v>5.5648099999999999E-2</v>
      </c>
      <c r="T1236" t="s">
        <v>312</v>
      </c>
      <c r="U1236">
        <v>1.9188621999999999E-2</v>
      </c>
      <c r="V1236" t="s">
        <v>405</v>
      </c>
      <c r="W1236">
        <v>1.8159644999999999E-2</v>
      </c>
    </row>
    <row r="1237" spans="1:23" x14ac:dyDescent="0.25">
      <c r="A1237" s="3" t="str">
        <f>HYPERLINK("http://ids.si.edu/ids/deliveryService?id=NMAH-ET2017-05675-000001","NMAH-ET2017-05675-000001")</f>
        <v>NMAH-ET2017-05675-000001</v>
      </c>
      <c r="B1237" s="3" t="s">
        <v>2864</v>
      </c>
      <c r="C1237" s="3">
        <v>529370</v>
      </c>
      <c r="D1237" s="3" t="s">
        <v>1512</v>
      </c>
      <c r="E1237" s="4" t="s">
        <v>1668</v>
      </c>
      <c r="F1237" t="s">
        <v>50</v>
      </c>
      <c r="G1237">
        <v>0.82034802436828613</v>
      </c>
      <c r="H1237" t="s">
        <v>1461</v>
      </c>
      <c r="I1237">
        <v>0.79095655679702759</v>
      </c>
      <c r="J1237" t="s">
        <v>1462</v>
      </c>
      <c r="K1237" s="4">
        <v>0.67603719234466553</v>
      </c>
      <c r="L1237" t="s">
        <v>336</v>
      </c>
      <c r="M1237">
        <v>0.47331359999999989</v>
      </c>
      <c r="N1237" t="s">
        <v>45</v>
      </c>
      <c r="O1237">
        <v>6.0774404999999997E-2</v>
      </c>
      <c r="P1237" t="s">
        <v>259</v>
      </c>
      <c r="Q1237" s="4">
        <v>3.9740060000000001E-2</v>
      </c>
      <c r="R1237" t="s">
        <v>443</v>
      </c>
      <c r="S1237">
        <v>0.12588198</v>
      </c>
      <c r="T1237" t="s">
        <v>523</v>
      </c>
      <c r="U1237">
        <v>9.1261819999999994E-2</v>
      </c>
      <c r="V1237" t="s">
        <v>259</v>
      </c>
      <c r="W1237">
        <v>8.5066329999999996E-2</v>
      </c>
    </row>
    <row r="1238" spans="1:23" x14ac:dyDescent="0.25">
      <c r="A1238" s="3" t="str">
        <f>HYPERLINK("http://ids.si.edu/ids/deliveryService?id=NMAH-ET2017-05658-000001","NMAH-ET2017-05658-000001")</f>
        <v>NMAH-ET2017-05658-000001</v>
      </c>
      <c r="B1238" s="3" t="s">
        <v>2865</v>
      </c>
      <c r="C1238" s="3">
        <v>491814</v>
      </c>
      <c r="D1238" s="3" t="s">
        <v>1512</v>
      </c>
      <c r="E1238" s="4" t="s">
        <v>2866</v>
      </c>
      <c r="F1238" t="s">
        <v>1583</v>
      </c>
      <c r="G1238">
        <v>0.94434249401092529</v>
      </c>
      <c r="H1238" t="s">
        <v>188</v>
      </c>
      <c r="I1238">
        <v>0.89323216676712036</v>
      </c>
      <c r="J1238" t="s">
        <v>2867</v>
      </c>
      <c r="K1238" s="4">
        <v>0.88947218656539917</v>
      </c>
      <c r="L1238" t="s">
        <v>156</v>
      </c>
      <c r="M1238">
        <v>0.67256795999999996</v>
      </c>
      <c r="N1238" t="s">
        <v>765</v>
      </c>
      <c r="O1238">
        <v>0.16415367</v>
      </c>
      <c r="P1238" t="s">
        <v>35</v>
      </c>
      <c r="Q1238" s="4">
        <v>4.1418504000000002E-2</v>
      </c>
      <c r="R1238" t="s">
        <v>765</v>
      </c>
      <c r="S1238">
        <v>0.30754890000000001</v>
      </c>
      <c r="T1238" t="s">
        <v>35</v>
      </c>
      <c r="U1238">
        <v>9.9575789999999997E-2</v>
      </c>
      <c r="V1238" t="s">
        <v>148</v>
      </c>
      <c r="W1238">
        <v>4.4870767999999998E-2</v>
      </c>
    </row>
    <row r="1239" spans="1:23" x14ac:dyDescent="0.25">
      <c r="A1239" s="3" t="str">
        <f>HYPERLINK("http://ids.si.edu/ids/deliveryService?id=NMAH-ET2015-20048","NMAH-ET2015-20048")</f>
        <v>NMAH-ET2015-20048</v>
      </c>
      <c r="B1239" s="3" t="s">
        <v>2868</v>
      </c>
      <c r="C1239" s="3">
        <v>529739</v>
      </c>
      <c r="D1239" s="3" t="s">
        <v>1512</v>
      </c>
      <c r="E1239" s="4" t="s">
        <v>1676</v>
      </c>
      <c r="F1239" t="s">
        <v>368</v>
      </c>
      <c r="G1239">
        <v>0.6224859356880188</v>
      </c>
      <c r="H1239" t="s">
        <v>328</v>
      </c>
      <c r="I1239">
        <v>0.55880308151245117</v>
      </c>
      <c r="J1239" t="s">
        <v>2869</v>
      </c>
      <c r="K1239" s="4">
        <v>0.54965329170227051</v>
      </c>
      <c r="L1239" t="s">
        <v>559</v>
      </c>
      <c r="M1239">
        <v>0.33675476999999998</v>
      </c>
      <c r="N1239" t="s">
        <v>172</v>
      </c>
      <c r="O1239">
        <v>0.15988902999999999</v>
      </c>
      <c r="P1239" t="s">
        <v>1277</v>
      </c>
      <c r="Q1239" s="4">
        <v>9.8431244000000001E-2</v>
      </c>
      <c r="R1239" t="s">
        <v>82</v>
      </c>
      <c r="S1239">
        <v>0.16554731</v>
      </c>
      <c r="T1239" t="s">
        <v>559</v>
      </c>
      <c r="U1239">
        <v>0.124970846</v>
      </c>
      <c r="V1239" t="s">
        <v>84</v>
      </c>
      <c r="W1239">
        <v>6.8388470000000007E-2</v>
      </c>
    </row>
    <row r="1240" spans="1:23" x14ac:dyDescent="0.25">
      <c r="A1240" s="3" t="str">
        <f>HYPERLINK("http://ids.si.edu/ids/deliveryService?id=NMAH-AHB2013q044422","NMAH-AHB2013q044422")</f>
        <v>NMAH-AHB2013q044422</v>
      </c>
      <c r="B1240" s="3" t="s">
        <v>2870</v>
      </c>
      <c r="C1240" s="3">
        <v>1437442</v>
      </c>
      <c r="D1240" s="3" t="s">
        <v>1716</v>
      </c>
      <c r="E1240" s="4" t="s">
        <v>1763</v>
      </c>
      <c r="F1240" t="s">
        <v>1774</v>
      </c>
      <c r="G1240">
        <v>0.83200711011886597</v>
      </c>
      <c r="H1240" t="s">
        <v>38</v>
      </c>
      <c r="I1240">
        <v>0.77216464281082153</v>
      </c>
      <c r="J1240" t="s">
        <v>112</v>
      </c>
      <c r="K1240" s="4">
        <v>0.74956268072128296</v>
      </c>
      <c r="L1240" t="s">
        <v>336</v>
      </c>
      <c r="M1240">
        <v>0.99784349999999999</v>
      </c>
      <c r="N1240" t="s">
        <v>149</v>
      </c>
      <c r="O1240">
        <v>9.2614866999999994E-4</v>
      </c>
      <c r="P1240" t="s">
        <v>1863</v>
      </c>
      <c r="Q1240" s="4">
        <v>8.4033330000000009E-5</v>
      </c>
      <c r="R1240" t="s">
        <v>336</v>
      </c>
      <c r="S1240">
        <v>0.86646390000000006</v>
      </c>
      <c r="T1240" t="s">
        <v>95</v>
      </c>
      <c r="U1240">
        <v>1.9328343000000001E-2</v>
      </c>
      <c r="V1240" t="s">
        <v>148</v>
      </c>
      <c r="W1240">
        <v>1.2033491E-2</v>
      </c>
    </row>
    <row r="1241" spans="1:23" x14ac:dyDescent="0.25">
      <c r="A1241" s="3" t="str">
        <f>HYPERLINK("http://ids.si.edu/ids/deliveryService?id=NMAH-NMAH2001-11917","NMAH-NMAH2001-11917")</f>
        <v>NMAH-NMAH2001-11917</v>
      </c>
      <c r="B1241" s="3" t="s">
        <v>2871</v>
      </c>
      <c r="C1241" s="3">
        <v>706513</v>
      </c>
      <c r="D1241" s="3" t="s">
        <v>1716</v>
      </c>
      <c r="E1241" s="4" t="s">
        <v>1801</v>
      </c>
      <c r="F1241" t="s">
        <v>1200</v>
      </c>
      <c r="G1241">
        <v>0.82355952262878418</v>
      </c>
      <c r="H1241" t="s">
        <v>636</v>
      </c>
      <c r="I1241">
        <v>0.58996987342834473</v>
      </c>
      <c r="J1241" t="s">
        <v>280</v>
      </c>
      <c r="K1241" s="4">
        <v>0.51375329494476318</v>
      </c>
      <c r="L1241" t="s">
        <v>148</v>
      </c>
      <c r="M1241">
        <v>0.28273029999999999</v>
      </c>
      <c r="N1241" t="s">
        <v>150</v>
      </c>
      <c r="O1241">
        <v>0.18390103999999999</v>
      </c>
      <c r="P1241" t="s">
        <v>442</v>
      </c>
      <c r="Q1241" s="4">
        <v>0.11832262</v>
      </c>
      <c r="R1241" t="s">
        <v>668</v>
      </c>
      <c r="S1241">
        <v>0.81810260000000001</v>
      </c>
      <c r="T1241" t="s">
        <v>442</v>
      </c>
      <c r="U1241">
        <v>5.666682E-2</v>
      </c>
      <c r="V1241" t="s">
        <v>597</v>
      </c>
      <c r="W1241">
        <v>1.6246699999999999E-2</v>
      </c>
    </row>
    <row r="1242" spans="1:23" x14ac:dyDescent="0.25">
      <c r="A1242" s="3" t="str">
        <f>HYPERLINK("http://ids.si.edu/ids/deliveryService?id=NMAH-JN2015-5066","NMAH-JN2015-5066")</f>
        <v>NMAH-JN2015-5066</v>
      </c>
      <c r="B1242" s="3" t="s">
        <v>2872</v>
      </c>
      <c r="C1242" s="3">
        <v>1191648</v>
      </c>
      <c r="D1242" s="3" t="s">
        <v>1716</v>
      </c>
      <c r="E1242" s="4" t="s">
        <v>2873</v>
      </c>
      <c r="F1242" t="s">
        <v>179</v>
      </c>
      <c r="G1242">
        <v>0.7669406533241272</v>
      </c>
      <c r="H1242" t="s">
        <v>178</v>
      </c>
      <c r="I1242">
        <v>0.7072644829750061</v>
      </c>
      <c r="L1242" t="s">
        <v>390</v>
      </c>
      <c r="M1242">
        <v>0.41626607999999998</v>
      </c>
      <c r="N1242" t="s">
        <v>150</v>
      </c>
      <c r="O1242">
        <v>0.15143380000000001</v>
      </c>
      <c r="P1242" t="s">
        <v>668</v>
      </c>
      <c r="Q1242" s="4">
        <v>5.2903067000000012E-2</v>
      </c>
      <c r="R1242" t="s">
        <v>392</v>
      </c>
      <c r="S1242">
        <v>0.27397044999999998</v>
      </c>
      <c r="T1242" t="s">
        <v>390</v>
      </c>
      <c r="U1242">
        <v>0.18983299000000001</v>
      </c>
      <c r="V1242" t="s">
        <v>784</v>
      </c>
      <c r="W1242">
        <v>0.10940997</v>
      </c>
    </row>
    <row r="1243" spans="1:23" x14ac:dyDescent="0.25">
      <c r="A1243" s="3" t="str">
        <f>HYPERLINK("http://ids.si.edu/ids/deliveryService?id=NMAH-JN2014-3540","NMAH-JN2014-3540")</f>
        <v>NMAH-JN2014-3540</v>
      </c>
      <c r="B1243" s="3" t="s">
        <v>2874</v>
      </c>
      <c r="C1243" s="3">
        <v>713405</v>
      </c>
      <c r="D1243" s="3" t="s">
        <v>1716</v>
      </c>
      <c r="E1243" s="4" t="s">
        <v>2875</v>
      </c>
      <c r="F1243" t="s">
        <v>179</v>
      </c>
      <c r="G1243">
        <v>0.80625748634338379</v>
      </c>
      <c r="H1243" t="s">
        <v>178</v>
      </c>
      <c r="I1243">
        <v>0.79406559467315674</v>
      </c>
      <c r="L1243" t="s">
        <v>392</v>
      </c>
      <c r="M1243">
        <v>0.37937080000000001</v>
      </c>
      <c r="N1243" t="s">
        <v>233</v>
      </c>
      <c r="O1243">
        <v>3.9165489999999997E-2</v>
      </c>
      <c r="P1243" t="s">
        <v>150</v>
      </c>
      <c r="Q1243" s="4">
        <v>3.3651634999999999E-2</v>
      </c>
      <c r="R1243" t="s">
        <v>390</v>
      </c>
      <c r="S1243">
        <v>0.51094849999999992</v>
      </c>
      <c r="T1243" t="s">
        <v>392</v>
      </c>
      <c r="U1243">
        <v>0.22691177000000001</v>
      </c>
      <c r="V1243" t="s">
        <v>1142</v>
      </c>
      <c r="W1243">
        <v>3.4051295000000002E-2</v>
      </c>
    </row>
    <row r="1244" spans="1:23" x14ac:dyDescent="0.25">
      <c r="A1244" s="3" t="str">
        <f>HYPERLINK("http://ids.si.edu/ids/deliveryService?id=NMAH-AHB2013q043979","NMAH-AHB2013q043979")</f>
        <v>NMAH-AHB2013q043979</v>
      </c>
      <c r="B1244" s="3" t="s">
        <v>2876</v>
      </c>
      <c r="C1244" s="3">
        <v>1438041</v>
      </c>
      <c r="D1244" s="3" t="s">
        <v>1716</v>
      </c>
      <c r="E1244" s="4" t="s">
        <v>1727</v>
      </c>
      <c r="F1244" t="s">
        <v>61</v>
      </c>
      <c r="G1244">
        <v>0.86929196119308472</v>
      </c>
      <c r="H1244" t="s">
        <v>112</v>
      </c>
      <c r="I1244">
        <v>0.74956268072128296</v>
      </c>
      <c r="J1244" t="s">
        <v>50</v>
      </c>
      <c r="K1244" s="4">
        <v>0.60706108808517456</v>
      </c>
      <c r="L1244" t="s">
        <v>336</v>
      </c>
      <c r="M1244">
        <v>0.77421993</v>
      </c>
      <c r="N1244" t="s">
        <v>156</v>
      </c>
      <c r="O1244">
        <v>5.5039673999999997E-2</v>
      </c>
      <c r="P1244" t="s">
        <v>1728</v>
      </c>
      <c r="Q1244" s="4">
        <v>2.2547882000000002E-2</v>
      </c>
      <c r="R1244" t="s">
        <v>156</v>
      </c>
      <c r="S1244">
        <v>9.2825899999999989E-2</v>
      </c>
      <c r="T1244" t="s">
        <v>175</v>
      </c>
      <c r="U1244">
        <v>7.7648974999999995E-2</v>
      </c>
      <c r="V1244" t="s">
        <v>159</v>
      </c>
      <c r="W1244">
        <v>7.6951444000000008E-2</v>
      </c>
    </row>
    <row r="1245" spans="1:23" x14ac:dyDescent="0.25">
      <c r="A1245" s="3" t="str">
        <f>HYPERLINK("http://ids.si.edu/ids/deliveryService?id=NMAH-JN2014-3875","NMAH-JN2014-3875")</f>
        <v>NMAH-JN2014-3875</v>
      </c>
      <c r="B1245" s="3" t="s">
        <v>2877</v>
      </c>
      <c r="C1245" s="3">
        <v>879285</v>
      </c>
      <c r="D1245" s="3" t="s">
        <v>1716</v>
      </c>
      <c r="E1245" s="4" t="s">
        <v>2878</v>
      </c>
      <c r="F1245" t="s">
        <v>91</v>
      </c>
      <c r="G1245">
        <v>0.88283330202102661</v>
      </c>
      <c r="L1245" t="s">
        <v>182</v>
      </c>
      <c r="M1245">
        <v>0.24410333000000001</v>
      </c>
      <c r="N1245" t="s">
        <v>528</v>
      </c>
      <c r="O1245">
        <v>7.7059834999999993E-2</v>
      </c>
      <c r="P1245" t="s">
        <v>398</v>
      </c>
      <c r="Q1245" s="4">
        <v>6.3361100000000004E-2</v>
      </c>
      <c r="R1245" t="s">
        <v>685</v>
      </c>
      <c r="S1245">
        <v>0.53388952999999995</v>
      </c>
      <c r="T1245" t="s">
        <v>1426</v>
      </c>
      <c r="U1245">
        <v>3.8084651999999997E-2</v>
      </c>
      <c r="V1245" t="s">
        <v>599</v>
      </c>
      <c r="W1245">
        <v>3.649057E-2</v>
      </c>
    </row>
    <row r="1246" spans="1:23" x14ac:dyDescent="0.25">
      <c r="A1246" s="3" t="str">
        <f>HYPERLINK("http://ids.si.edu/ids/deliveryService?id=NMAH-AHB2013q045077","NMAH-AHB2013q045077")</f>
        <v>NMAH-AHB2013q045077</v>
      </c>
      <c r="B1246" s="3" t="s">
        <v>2879</v>
      </c>
      <c r="C1246" s="3">
        <v>1438540</v>
      </c>
      <c r="D1246" s="3" t="s">
        <v>1716</v>
      </c>
      <c r="E1246" s="4" t="s">
        <v>1927</v>
      </c>
      <c r="F1246" t="s">
        <v>91</v>
      </c>
      <c r="G1246">
        <v>0.88283330202102661</v>
      </c>
      <c r="H1246" t="s">
        <v>112</v>
      </c>
      <c r="I1246">
        <v>0.68572378158569336</v>
      </c>
      <c r="J1246" t="s">
        <v>1150</v>
      </c>
      <c r="K1246" s="4">
        <v>0.66917484998703003</v>
      </c>
      <c r="L1246" t="s">
        <v>170</v>
      </c>
      <c r="M1246">
        <v>0.34344291999999998</v>
      </c>
      <c r="N1246" t="s">
        <v>983</v>
      </c>
      <c r="O1246">
        <v>0.13067824</v>
      </c>
      <c r="P1246" t="s">
        <v>225</v>
      </c>
      <c r="Q1246" s="4">
        <v>8.6231804999999995E-2</v>
      </c>
      <c r="R1246" t="s">
        <v>983</v>
      </c>
      <c r="S1246">
        <v>0.31812876000000001</v>
      </c>
      <c r="T1246" t="s">
        <v>170</v>
      </c>
      <c r="U1246">
        <v>0.21521277999999999</v>
      </c>
      <c r="V1246" t="s">
        <v>95</v>
      </c>
      <c r="W1246">
        <v>0.15779892000000001</v>
      </c>
    </row>
    <row r="1247" spans="1:23" x14ac:dyDescent="0.25">
      <c r="A1247" s="3" t="str">
        <f>HYPERLINK("http://ids.si.edu/ids/deliveryService?id=NMAH-AHB2013q043685","NMAH-AHB2013q043685")</f>
        <v>NMAH-AHB2013q043685</v>
      </c>
      <c r="B1247" s="3" t="s">
        <v>2880</v>
      </c>
      <c r="C1247" s="3">
        <v>1437133</v>
      </c>
      <c r="D1247" s="3" t="s">
        <v>1716</v>
      </c>
      <c r="E1247" s="4" t="s">
        <v>336</v>
      </c>
      <c r="F1247" t="s">
        <v>112</v>
      </c>
      <c r="G1247">
        <v>0.74956268072128296</v>
      </c>
      <c r="H1247" t="s">
        <v>49</v>
      </c>
      <c r="I1247">
        <v>0.73313456773757935</v>
      </c>
      <c r="J1247" t="s">
        <v>196</v>
      </c>
      <c r="K1247" s="4">
        <v>0.70026475191116333</v>
      </c>
      <c r="L1247" t="s">
        <v>336</v>
      </c>
      <c r="M1247">
        <v>0.40635902000000002</v>
      </c>
      <c r="N1247" t="s">
        <v>273</v>
      </c>
      <c r="O1247">
        <v>0.22351056</v>
      </c>
      <c r="P1247" t="s">
        <v>1728</v>
      </c>
      <c r="Q1247" s="4">
        <v>4.6682442999999997E-2</v>
      </c>
      <c r="R1247" t="s">
        <v>706</v>
      </c>
      <c r="S1247">
        <v>0.10113881500000001</v>
      </c>
      <c r="T1247" t="s">
        <v>175</v>
      </c>
      <c r="U1247">
        <v>7.9233449999999997E-2</v>
      </c>
      <c r="V1247" t="s">
        <v>157</v>
      </c>
      <c r="W1247">
        <v>6.980219E-2</v>
      </c>
    </row>
    <row r="1248" spans="1:23" x14ac:dyDescent="0.25">
      <c r="A1248" s="3" t="str">
        <f>HYPERLINK("http://ids.si.edu/ids/deliveryService?id=NMAH-AHB2013q044274","NMAH-AHB2013q044274")</f>
        <v>NMAH-AHB2013q044274</v>
      </c>
      <c r="B1248" s="3" t="s">
        <v>2881</v>
      </c>
      <c r="C1248" s="3">
        <v>1437255</v>
      </c>
      <c r="D1248" s="3" t="s">
        <v>1716</v>
      </c>
      <c r="E1248" s="4" t="s">
        <v>1763</v>
      </c>
      <c r="F1248" t="s">
        <v>1758</v>
      </c>
      <c r="G1248">
        <v>0.96919101476669312</v>
      </c>
      <c r="H1248" t="s">
        <v>1757</v>
      </c>
      <c r="I1248">
        <v>0.96706205606460571</v>
      </c>
      <c r="J1248" t="s">
        <v>49</v>
      </c>
      <c r="K1248" s="4">
        <v>0.8990405797958374</v>
      </c>
      <c r="L1248" t="s">
        <v>336</v>
      </c>
      <c r="M1248">
        <v>0.99980634000000002</v>
      </c>
      <c r="N1248" t="s">
        <v>174</v>
      </c>
      <c r="O1248">
        <v>7.3813030000000008E-5</v>
      </c>
      <c r="P1248" t="s">
        <v>544</v>
      </c>
      <c r="Q1248" s="4">
        <v>5.5809804000000013E-5</v>
      </c>
      <c r="R1248" t="s">
        <v>336</v>
      </c>
      <c r="S1248">
        <v>0.99250669999999996</v>
      </c>
      <c r="T1248" t="s">
        <v>95</v>
      </c>
      <c r="U1248">
        <v>2.8583015999999999E-3</v>
      </c>
      <c r="V1248" t="s">
        <v>365</v>
      </c>
      <c r="W1248">
        <v>1.3167241000000001E-3</v>
      </c>
    </row>
    <row r="1249" spans="1:23" x14ac:dyDescent="0.25">
      <c r="A1249" s="3" t="str">
        <f>HYPERLINK("http://ids.si.edu/ids/deliveryService?id=NMAH-AHB2013q042114","NMAH-AHB2013q042114")</f>
        <v>NMAH-AHB2013q042114</v>
      </c>
      <c r="B1249" s="3" t="s">
        <v>2882</v>
      </c>
      <c r="C1249" s="3">
        <v>1386812</v>
      </c>
      <c r="D1249" s="3" t="s">
        <v>1716</v>
      </c>
      <c r="E1249" s="4" t="s">
        <v>1854</v>
      </c>
      <c r="F1249" t="s">
        <v>61</v>
      </c>
      <c r="G1249">
        <v>0.89724308252334595</v>
      </c>
      <c r="H1249" t="s">
        <v>112</v>
      </c>
      <c r="I1249">
        <v>0.68572378158569336</v>
      </c>
      <c r="J1249" t="s">
        <v>486</v>
      </c>
      <c r="K1249" s="4">
        <v>0.62069058418273926</v>
      </c>
      <c r="L1249" t="s">
        <v>1338</v>
      </c>
      <c r="M1249">
        <v>0.36352316000000001</v>
      </c>
      <c r="N1249" t="s">
        <v>149</v>
      </c>
      <c r="O1249">
        <v>6.8573505000000007E-2</v>
      </c>
      <c r="P1249" t="s">
        <v>1052</v>
      </c>
      <c r="Q1249" s="4">
        <v>5.5570632000000002E-2</v>
      </c>
      <c r="R1249" t="s">
        <v>149</v>
      </c>
      <c r="S1249">
        <v>0.24120063999999999</v>
      </c>
      <c r="T1249" t="s">
        <v>369</v>
      </c>
      <c r="U1249">
        <v>0.10560460000000001</v>
      </c>
      <c r="V1249" t="s">
        <v>335</v>
      </c>
      <c r="W1249">
        <v>0.10447405</v>
      </c>
    </row>
    <row r="1250" spans="1:23" x14ac:dyDescent="0.25">
      <c r="A1250" s="3" t="str">
        <f>HYPERLINK("http://ids.si.edu/ids/deliveryService?id=NMAH-AHB2013q044258","NMAH-AHB2013q044258")</f>
        <v>NMAH-AHB2013q044258</v>
      </c>
      <c r="B1250" s="3" t="s">
        <v>2883</v>
      </c>
      <c r="C1250" s="3">
        <v>1437246</v>
      </c>
      <c r="D1250" s="3" t="s">
        <v>1716</v>
      </c>
      <c r="E1250" s="4" t="s">
        <v>1763</v>
      </c>
      <c r="F1250" t="s">
        <v>49</v>
      </c>
      <c r="G1250">
        <v>0.76081103086471558</v>
      </c>
      <c r="H1250" t="s">
        <v>1757</v>
      </c>
      <c r="I1250">
        <v>0.75987076759338379</v>
      </c>
      <c r="J1250" t="s">
        <v>112</v>
      </c>
      <c r="K1250" s="4">
        <v>0.68572378158569336</v>
      </c>
      <c r="L1250" t="s">
        <v>149</v>
      </c>
      <c r="M1250">
        <v>0.79528589999999999</v>
      </c>
      <c r="N1250" t="s">
        <v>336</v>
      </c>
      <c r="O1250">
        <v>0.19956194999999999</v>
      </c>
      <c r="P1250" t="s">
        <v>148</v>
      </c>
      <c r="Q1250" s="4">
        <v>1.1927735E-3</v>
      </c>
      <c r="R1250" t="s">
        <v>336</v>
      </c>
      <c r="S1250">
        <v>0.79361749999999998</v>
      </c>
      <c r="T1250" t="s">
        <v>149</v>
      </c>
      <c r="U1250">
        <v>7.6877034999999996E-2</v>
      </c>
      <c r="V1250" t="s">
        <v>95</v>
      </c>
      <c r="W1250">
        <v>1.6046761999999999E-2</v>
      </c>
    </row>
    <row r="1251" spans="1:23" x14ac:dyDescent="0.25">
      <c r="A1251" s="3" t="str">
        <f>HYPERLINK("http://ids.si.edu/ids/deliveryService?id=NMAH-NMAH2002-28068","NMAH-NMAH2002-28068")</f>
        <v>NMAH-NMAH2002-28068</v>
      </c>
      <c r="B1251" s="3" t="s">
        <v>2884</v>
      </c>
      <c r="C1251" s="3">
        <v>706730</v>
      </c>
      <c r="D1251" s="3" t="s">
        <v>1716</v>
      </c>
      <c r="E1251" s="4" t="s">
        <v>1801</v>
      </c>
      <c r="F1251" t="s">
        <v>439</v>
      </c>
      <c r="G1251">
        <v>0.79161351919174194</v>
      </c>
      <c r="H1251" t="s">
        <v>441</v>
      </c>
      <c r="I1251">
        <v>0.6757805347442627</v>
      </c>
      <c r="J1251" t="s">
        <v>1201</v>
      </c>
      <c r="K1251" s="4">
        <v>0.60010379552841187</v>
      </c>
      <c r="L1251" t="s">
        <v>571</v>
      </c>
      <c r="M1251">
        <v>0.17416523</v>
      </c>
      <c r="N1251" t="s">
        <v>93</v>
      </c>
      <c r="O1251">
        <v>0.14982443000000001</v>
      </c>
      <c r="P1251" t="s">
        <v>668</v>
      </c>
      <c r="Q1251" s="4">
        <v>0.104278274</v>
      </c>
      <c r="R1251" t="s">
        <v>571</v>
      </c>
      <c r="S1251">
        <v>0.16056657999999999</v>
      </c>
      <c r="T1251" t="s">
        <v>379</v>
      </c>
      <c r="U1251">
        <v>0.12848731999999999</v>
      </c>
      <c r="V1251" t="s">
        <v>673</v>
      </c>
      <c r="W1251">
        <v>0.11733228</v>
      </c>
    </row>
    <row r="1252" spans="1:23" x14ac:dyDescent="0.25">
      <c r="A1252" s="3" t="str">
        <f>HYPERLINK("http://ids.si.edu/ids/deliveryService?id=NMAH-NMAH2004-08215","NMAH-NMAH2004-08215")</f>
        <v>NMAH-NMAH2004-08215</v>
      </c>
      <c r="B1252" s="3" t="s">
        <v>2885</v>
      </c>
      <c r="C1252" s="3">
        <v>751239</v>
      </c>
      <c r="D1252" s="3" t="s">
        <v>1716</v>
      </c>
      <c r="E1252" s="4" t="s">
        <v>2886</v>
      </c>
      <c r="F1252" t="s">
        <v>1150</v>
      </c>
      <c r="G1252">
        <v>0.51866829395294189</v>
      </c>
      <c r="L1252" t="s">
        <v>495</v>
      </c>
      <c r="M1252">
        <v>0.73833585000000002</v>
      </c>
      <c r="N1252" t="s">
        <v>82</v>
      </c>
      <c r="O1252">
        <v>0.112518094</v>
      </c>
      <c r="P1252" t="s">
        <v>1215</v>
      </c>
      <c r="Q1252" s="4">
        <v>6.3475370000000003E-2</v>
      </c>
      <c r="R1252" t="s">
        <v>495</v>
      </c>
      <c r="S1252">
        <v>0.49691507000000001</v>
      </c>
      <c r="T1252" t="s">
        <v>82</v>
      </c>
      <c r="U1252">
        <v>0.11722572000000001</v>
      </c>
      <c r="V1252" t="s">
        <v>765</v>
      </c>
      <c r="W1252">
        <v>4.7717153999999998E-2</v>
      </c>
    </row>
    <row r="1253" spans="1:23" x14ac:dyDescent="0.25">
      <c r="A1253" s="3" t="str">
        <f>HYPERLINK("http://ids.si.edu/ids/deliveryService?id=NMAH-NMAH2002-29356","NMAH-NMAH2002-29356")</f>
        <v>NMAH-NMAH2002-29356</v>
      </c>
      <c r="B1253" s="3" t="s">
        <v>2887</v>
      </c>
      <c r="C1253" s="3">
        <v>706891</v>
      </c>
      <c r="D1253" s="3" t="s">
        <v>1716</v>
      </c>
      <c r="E1253" s="4" t="s">
        <v>1860</v>
      </c>
      <c r="F1253" t="s">
        <v>636</v>
      </c>
      <c r="G1253">
        <v>0.64177501201629639</v>
      </c>
      <c r="H1253" t="s">
        <v>2888</v>
      </c>
      <c r="I1253">
        <v>0.63344341516494751</v>
      </c>
      <c r="J1253" t="s">
        <v>178</v>
      </c>
      <c r="K1253" s="4">
        <v>0.5937383770942688</v>
      </c>
      <c r="L1253" t="s">
        <v>411</v>
      </c>
      <c r="M1253">
        <v>0.62210345</v>
      </c>
      <c r="N1253" t="s">
        <v>804</v>
      </c>
      <c r="O1253">
        <v>8.9443535000000005E-2</v>
      </c>
      <c r="P1253" t="s">
        <v>784</v>
      </c>
      <c r="Q1253" s="4">
        <v>6.1914495999999999E-2</v>
      </c>
      <c r="R1253" t="s">
        <v>804</v>
      </c>
      <c r="S1253">
        <v>0.34987178000000002</v>
      </c>
      <c r="T1253" t="s">
        <v>784</v>
      </c>
      <c r="U1253">
        <v>0.27302926999999999</v>
      </c>
      <c r="V1253" t="s">
        <v>2208</v>
      </c>
      <c r="W1253">
        <v>0.16554077</v>
      </c>
    </row>
    <row r="1254" spans="1:23" x14ac:dyDescent="0.25">
      <c r="A1254" s="3" t="str">
        <f>HYPERLINK("http://ids.si.edu/ids/deliveryService?id=NMAH-NMAH2002-11121","NMAH-NMAH2002-11121")</f>
        <v>NMAH-NMAH2002-11121</v>
      </c>
      <c r="B1254" s="3" t="s">
        <v>2889</v>
      </c>
      <c r="C1254" s="3">
        <v>706342</v>
      </c>
      <c r="D1254" s="3" t="s">
        <v>1716</v>
      </c>
      <c r="E1254" s="4" t="s">
        <v>1801</v>
      </c>
      <c r="F1254" t="s">
        <v>91</v>
      </c>
      <c r="G1254">
        <v>0.91031128168106079</v>
      </c>
      <c r="H1254" t="s">
        <v>280</v>
      </c>
      <c r="I1254">
        <v>0.70558750629425049</v>
      </c>
      <c r="J1254" t="s">
        <v>90</v>
      </c>
      <c r="K1254" s="4">
        <v>0.61177396774291992</v>
      </c>
      <c r="L1254" t="s">
        <v>668</v>
      </c>
      <c r="M1254">
        <v>0.33423166999999998</v>
      </c>
      <c r="N1254" t="s">
        <v>442</v>
      </c>
      <c r="O1254">
        <v>0.29669459999999998</v>
      </c>
      <c r="P1254" t="s">
        <v>184</v>
      </c>
      <c r="Q1254" s="4">
        <v>2.752404E-2</v>
      </c>
      <c r="R1254" t="s">
        <v>148</v>
      </c>
      <c r="S1254">
        <v>0.2488525</v>
      </c>
      <c r="T1254" t="s">
        <v>668</v>
      </c>
      <c r="U1254">
        <v>0.16984887000000001</v>
      </c>
      <c r="V1254" t="s">
        <v>490</v>
      </c>
      <c r="W1254">
        <v>8.275689E-2</v>
      </c>
    </row>
    <row r="1255" spans="1:23" x14ac:dyDescent="0.25">
      <c r="A1255" s="3" t="str">
        <f>HYPERLINK("http://ids.si.edu/ids/deliveryService?id=NMAH-AHB2013q044418","NMAH-AHB2013q044418")</f>
        <v>NMAH-AHB2013q044418</v>
      </c>
      <c r="B1255" s="3" t="s">
        <v>2890</v>
      </c>
      <c r="C1255" s="3">
        <v>1437438</v>
      </c>
      <c r="D1255" s="3" t="s">
        <v>1716</v>
      </c>
      <c r="E1255" s="4" t="s">
        <v>1763</v>
      </c>
      <c r="F1255" t="s">
        <v>196</v>
      </c>
      <c r="G1255">
        <v>0.61345642805099487</v>
      </c>
      <c r="H1255" t="s">
        <v>49</v>
      </c>
      <c r="I1255">
        <v>0.60288959741592407</v>
      </c>
      <c r="J1255" t="s">
        <v>50</v>
      </c>
      <c r="K1255" s="4">
        <v>0.5114516019821167</v>
      </c>
      <c r="L1255" t="s">
        <v>336</v>
      </c>
      <c r="M1255">
        <v>0.84613614999999998</v>
      </c>
      <c r="N1255" t="s">
        <v>273</v>
      </c>
      <c r="O1255">
        <v>6.6929870000000002E-2</v>
      </c>
      <c r="P1255" t="s">
        <v>1728</v>
      </c>
      <c r="Q1255" s="4">
        <v>3.9935699999999998E-2</v>
      </c>
      <c r="R1255" t="s">
        <v>813</v>
      </c>
      <c r="S1255">
        <v>0.35237669999999999</v>
      </c>
      <c r="T1255" t="s">
        <v>159</v>
      </c>
      <c r="U1255">
        <v>0.27969292000000001</v>
      </c>
      <c r="V1255" t="s">
        <v>31</v>
      </c>
      <c r="W1255">
        <v>7.1380584999999996E-2</v>
      </c>
    </row>
    <row r="1256" spans="1:23" x14ac:dyDescent="0.25">
      <c r="A1256" s="3" t="str">
        <f>HYPERLINK("http://ids.si.edu/ids/deliveryService?id=NMAH-AHB2012q25845","NMAH-AHB2012q25845")</f>
        <v>NMAH-AHB2012q25845</v>
      </c>
      <c r="B1256" s="3" t="s">
        <v>2891</v>
      </c>
      <c r="C1256" s="3">
        <v>849972</v>
      </c>
      <c r="D1256" s="3" t="s">
        <v>1716</v>
      </c>
      <c r="E1256" s="4" t="s">
        <v>1722</v>
      </c>
      <c r="F1256" t="s">
        <v>1723</v>
      </c>
      <c r="G1256">
        <v>0.9906279444694519</v>
      </c>
      <c r="H1256" t="s">
        <v>596</v>
      </c>
      <c r="I1256">
        <v>0.98158383369445801</v>
      </c>
      <c r="J1256" t="s">
        <v>532</v>
      </c>
      <c r="K1256" s="4">
        <v>0.88959848880767822</v>
      </c>
      <c r="L1256" t="s">
        <v>597</v>
      </c>
      <c r="M1256">
        <v>0.45617340000000012</v>
      </c>
      <c r="N1256" t="s">
        <v>598</v>
      </c>
      <c r="O1256">
        <v>0.44685686000000002</v>
      </c>
      <c r="P1256" t="s">
        <v>149</v>
      </c>
      <c r="Q1256" s="4">
        <v>2.3430755000000001E-2</v>
      </c>
      <c r="R1256" t="s">
        <v>149</v>
      </c>
      <c r="S1256">
        <v>0.17328666000000001</v>
      </c>
      <c r="T1256" t="s">
        <v>598</v>
      </c>
      <c r="U1256">
        <v>0.14613661</v>
      </c>
      <c r="V1256" t="s">
        <v>597</v>
      </c>
      <c r="W1256">
        <v>0.10674915</v>
      </c>
    </row>
    <row r="1257" spans="1:23" x14ac:dyDescent="0.25">
      <c r="A1257" s="3" t="str">
        <f>HYPERLINK("http://ids.si.edu/ids/deliveryService?id=NMAH-JN2014-3910","NMAH-JN2014-3910")</f>
        <v>NMAH-JN2014-3910</v>
      </c>
      <c r="B1257" s="3" t="s">
        <v>2892</v>
      </c>
      <c r="C1257" s="3">
        <v>1440962</v>
      </c>
      <c r="D1257" s="3" t="s">
        <v>1716</v>
      </c>
      <c r="E1257" s="4" t="s">
        <v>2893</v>
      </c>
      <c r="F1257" t="s">
        <v>49</v>
      </c>
      <c r="G1257">
        <v>0.73051947355270386</v>
      </c>
      <c r="H1257" t="s">
        <v>50</v>
      </c>
      <c r="I1257">
        <v>0.6591346263885498</v>
      </c>
      <c r="J1257" t="s">
        <v>2894</v>
      </c>
      <c r="K1257" s="4">
        <v>0.64016270637512207</v>
      </c>
      <c r="L1257" t="s">
        <v>397</v>
      </c>
      <c r="M1257">
        <v>0.19071667</v>
      </c>
      <c r="N1257" t="s">
        <v>159</v>
      </c>
      <c r="O1257">
        <v>0.17614941000000001</v>
      </c>
      <c r="P1257" t="s">
        <v>175</v>
      </c>
      <c r="Q1257" s="4">
        <v>9.4341120000000001E-2</v>
      </c>
      <c r="R1257" t="s">
        <v>166</v>
      </c>
      <c r="S1257">
        <v>0.11175823</v>
      </c>
      <c r="T1257" t="s">
        <v>159</v>
      </c>
      <c r="U1257">
        <v>9.7275749999999994E-2</v>
      </c>
      <c r="V1257" t="s">
        <v>600</v>
      </c>
      <c r="W1257">
        <v>4.9235889999999997E-2</v>
      </c>
    </row>
    <row r="1258" spans="1:23" x14ac:dyDescent="0.25">
      <c r="A1258" s="3" t="str">
        <f>HYPERLINK("http://ids.si.edu/ids/deliveryService?id=NMAH-AHB2013q045007","NMAH-AHB2013q045007")</f>
        <v>NMAH-AHB2013q045007</v>
      </c>
      <c r="B1258" s="3" t="s">
        <v>2895</v>
      </c>
      <c r="C1258" s="3">
        <v>1438402</v>
      </c>
      <c r="D1258" s="3" t="s">
        <v>1716</v>
      </c>
      <c r="E1258" s="4" t="s">
        <v>336</v>
      </c>
      <c r="F1258" t="s">
        <v>1757</v>
      </c>
      <c r="G1258">
        <v>0.84978246688842773</v>
      </c>
      <c r="H1258" t="s">
        <v>1758</v>
      </c>
      <c r="I1258">
        <v>0.84209692478179932</v>
      </c>
      <c r="J1258" t="s">
        <v>50</v>
      </c>
      <c r="K1258" s="4">
        <v>0.5114516019821167</v>
      </c>
      <c r="L1258" t="s">
        <v>336</v>
      </c>
      <c r="M1258">
        <v>0.99435954999999998</v>
      </c>
      <c r="N1258" t="s">
        <v>149</v>
      </c>
      <c r="O1258">
        <v>5.2042829999999997E-3</v>
      </c>
      <c r="P1258" t="s">
        <v>365</v>
      </c>
      <c r="Q1258" s="4">
        <v>6.4807459999999996E-5</v>
      </c>
      <c r="R1258" t="s">
        <v>336</v>
      </c>
      <c r="S1258">
        <v>0.81773125999999996</v>
      </c>
      <c r="T1258" t="s">
        <v>149</v>
      </c>
      <c r="U1258">
        <v>2.9561562E-2</v>
      </c>
      <c r="V1258" t="s">
        <v>95</v>
      </c>
      <c r="W1258">
        <v>2.1506042999999999E-2</v>
      </c>
    </row>
    <row r="1259" spans="1:23" x14ac:dyDescent="0.25">
      <c r="A1259" s="3" t="str">
        <f>HYPERLINK("http://ids.si.edu/ids/deliveryService?id=NMAH-JN2014-3857","NMAH-JN2014-3857")</f>
        <v>NMAH-JN2014-3857</v>
      </c>
      <c r="B1259" s="3" t="s">
        <v>2896</v>
      </c>
      <c r="C1259" s="3">
        <v>840958</v>
      </c>
      <c r="D1259" s="3" t="s">
        <v>1716</v>
      </c>
      <c r="E1259" s="4" t="s">
        <v>2897</v>
      </c>
      <c r="F1259" t="s">
        <v>281</v>
      </c>
      <c r="G1259">
        <v>0.94350546598434448</v>
      </c>
      <c r="H1259" t="s">
        <v>2898</v>
      </c>
      <c r="I1259">
        <v>0.87425345182418823</v>
      </c>
      <c r="J1259" t="s">
        <v>2899</v>
      </c>
      <c r="K1259" s="4">
        <v>0.78990077972412109</v>
      </c>
      <c r="L1259" t="s">
        <v>1143</v>
      </c>
      <c r="M1259">
        <v>0.37446836</v>
      </c>
      <c r="N1259" t="s">
        <v>1236</v>
      </c>
      <c r="O1259">
        <v>0.24802405</v>
      </c>
      <c r="P1259" t="s">
        <v>493</v>
      </c>
      <c r="Q1259" s="4">
        <v>0.10937997000000001</v>
      </c>
      <c r="R1259" t="s">
        <v>493</v>
      </c>
      <c r="S1259">
        <v>0.31059821999999998</v>
      </c>
      <c r="T1259" t="s">
        <v>2900</v>
      </c>
      <c r="U1259">
        <v>0.1734425</v>
      </c>
      <c r="V1259" t="s">
        <v>1236</v>
      </c>
      <c r="W1259">
        <v>0.14317368</v>
      </c>
    </row>
    <row r="1260" spans="1:23" x14ac:dyDescent="0.25">
      <c r="A1260" s="3" t="str">
        <f>HYPERLINK("http://ids.si.edu/ids/deliveryService?id=NMAH-AHB2013q044323","NMAH-AHB2013q044323")</f>
        <v>NMAH-AHB2013q044323</v>
      </c>
      <c r="B1260" s="3" t="s">
        <v>2901</v>
      </c>
      <c r="C1260" s="3">
        <v>1437356</v>
      </c>
      <c r="D1260" s="3" t="s">
        <v>1716</v>
      </c>
      <c r="E1260" s="4" t="s">
        <v>1763</v>
      </c>
      <c r="F1260" t="s">
        <v>49</v>
      </c>
      <c r="G1260">
        <v>0.89322245121002197</v>
      </c>
      <c r="H1260" t="s">
        <v>1757</v>
      </c>
      <c r="I1260">
        <v>0.83536016941070557</v>
      </c>
      <c r="J1260" t="s">
        <v>1758</v>
      </c>
      <c r="K1260" s="4">
        <v>0.76084291934967041</v>
      </c>
      <c r="L1260" t="s">
        <v>336</v>
      </c>
      <c r="M1260">
        <v>0.99803680000000006</v>
      </c>
      <c r="N1260" t="s">
        <v>1728</v>
      </c>
      <c r="O1260">
        <v>5.9002580000000005E-4</v>
      </c>
      <c r="P1260" t="s">
        <v>544</v>
      </c>
      <c r="Q1260" s="4">
        <v>4.5275486999999998E-4</v>
      </c>
      <c r="R1260" t="s">
        <v>336</v>
      </c>
      <c r="S1260">
        <v>0.94607999999999992</v>
      </c>
      <c r="T1260" t="s">
        <v>175</v>
      </c>
      <c r="U1260">
        <v>2.1915939999999998E-2</v>
      </c>
      <c r="V1260" t="s">
        <v>706</v>
      </c>
      <c r="W1260">
        <v>4.0880706999999999E-3</v>
      </c>
    </row>
    <row r="1261" spans="1:23" x14ac:dyDescent="0.25">
      <c r="A1261" s="3" t="str">
        <f>HYPERLINK("http://ids.si.edu/ids/deliveryService?id=NMAH-RWS2012-05491","NMAH-RWS2012-05491")</f>
        <v>NMAH-RWS2012-05491</v>
      </c>
      <c r="B1261" s="3" t="s">
        <v>2902</v>
      </c>
      <c r="C1261" s="3">
        <v>1417795</v>
      </c>
      <c r="D1261" s="3" t="s">
        <v>1716</v>
      </c>
      <c r="E1261" s="4" t="s">
        <v>1384</v>
      </c>
      <c r="F1261" t="s">
        <v>61</v>
      </c>
      <c r="G1261">
        <v>0.94669193029403687</v>
      </c>
      <c r="H1261" t="s">
        <v>112</v>
      </c>
      <c r="I1261">
        <v>0.93228870630264282</v>
      </c>
      <c r="J1261" t="s">
        <v>486</v>
      </c>
      <c r="K1261" s="4">
        <v>0.73794382810592651</v>
      </c>
      <c r="L1261" t="s">
        <v>529</v>
      </c>
      <c r="M1261">
        <v>0.21105673999999999</v>
      </c>
      <c r="N1261" t="s">
        <v>335</v>
      </c>
      <c r="O1261">
        <v>8.5548070000000004E-2</v>
      </c>
      <c r="P1261" t="s">
        <v>77</v>
      </c>
      <c r="Q1261" s="4">
        <v>4.7582693000000002E-2</v>
      </c>
      <c r="R1261" t="s">
        <v>689</v>
      </c>
      <c r="S1261">
        <v>0.14579702999999999</v>
      </c>
      <c r="T1261" t="s">
        <v>2903</v>
      </c>
      <c r="U1261">
        <v>6.8262859999999995E-2</v>
      </c>
      <c r="V1261" t="s">
        <v>782</v>
      </c>
      <c r="W1261">
        <v>6.6881019999999999E-2</v>
      </c>
    </row>
    <row r="1262" spans="1:23" x14ac:dyDescent="0.25">
      <c r="A1262" s="3" t="str">
        <f>HYPERLINK("http://ids.si.edu/ids/deliveryService?id=NMAH-JN2013-1925","NMAH-JN2013-1925")</f>
        <v>NMAH-JN2013-1925</v>
      </c>
      <c r="B1262" s="3" t="s">
        <v>2904</v>
      </c>
      <c r="C1262" s="3">
        <v>1380251</v>
      </c>
      <c r="D1262" s="3" t="s">
        <v>1716</v>
      </c>
      <c r="E1262" s="4" t="s">
        <v>2905</v>
      </c>
      <c r="F1262" t="s">
        <v>147</v>
      </c>
      <c r="G1262">
        <v>0.91354888677597046</v>
      </c>
      <c r="H1262" t="s">
        <v>50</v>
      </c>
      <c r="I1262">
        <v>0.6591346263885498</v>
      </c>
      <c r="J1262" t="s">
        <v>2138</v>
      </c>
      <c r="K1262" s="4">
        <v>0.60434901714324951</v>
      </c>
      <c r="L1262" t="s">
        <v>184</v>
      </c>
      <c r="M1262">
        <v>0.79597366000000003</v>
      </c>
      <c r="N1262" t="s">
        <v>673</v>
      </c>
      <c r="O1262">
        <v>0.13642019</v>
      </c>
      <c r="P1262" t="s">
        <v>209</v>
      </c>
      <c r="Q1262" s="4">
        <v>7.2004753000000001E-3</v>
      </c>
      <c r="R1262" t="s">
        <v>184</v>
      </c>
      <c r="S1262">
        <v>0.15662375000000001</v>
      </c>
      <c r="T1262" t="s">
        <v>95</v>
      </c>
      <c r="U1262">
        <v>0.14459765999999999</v>
      </c>
      <c r="V1262" t="s">
        <v>185</v>
      </c>
      <c r="W1262">
        <v>0.14423820000000001</v>
      </c>
    </row>
    <row r="1263" spans="1:23" x14ac:dyDescent="0.25">
      <c r="A1263" s="3" t="str">
        <f>HYPERLINK("http://ids.si.edu/ids/deliveryService?id=NMAH-AHB2013q044467","NMAH-AHB2013q044467")</f>
        <v>NMAH-AHB2013q044467</v>
      </c>
      <c r="B1263" s="3" t="s">
        <v>2906</v>
      </c>
      <c r="C1263" s="3">
        <v>1437855</v>
      </c>
      <c r="D1263" s="3" t="s">
        <v>1716</v>
      </c>
      <c r="E1263" s="4" t="s">
        <v>336</v>
      </c>
      <c r="F1263" t="s">
        <v>61</v>
      </c>
      <c r="G1263">
        <v>0.90795594453811646</v>
      </c>
      <c r="H1263" t="s">
        <v>91</v>
      </c>
      <c r="I1263">
        <v>0.88283330202102661</v>
      </c>
      <c r="J1263" t="s">
        <v>38</v>
      </c>
      <c r="K1263" s="4">
        <v>0.77426683902740479</v>
      </c>
      <c r="L1263" t="s">
        <v>336</v>
      </c>
      <c r="M1263">
        <v>0.90407693</v>
      </c>
      <c r="N1263" t="s">
        <v>66</v>
      </c>
      <c r="O1263">
        <v>1.5735849999999999E-2</v>
      </c>
      <c r="P1263" t="s">
        <v>149</v>
      </c>
      <c r="Q1263" s="4">
        <v>5.5132032999999992E-3</v>
      </c>
      <c r="R1263" t="s">
        <v>66</v>
      </c>
      <c r="S1263">
        <v>0.22225204000000001</v>
      </c>
      <c r="T1263" t="s">
        <v>151</v>
      </c>
      <c r="U1263">
        <v>9.8958774999999999E-2</v>
      </c>
      <c r="V1263" t="s">
        <v>765</v>
      </c>
      <c r="W1263">
        <v>5.4488399999999999E-2</v>
      </c>
    </row>
    <row r="1264" spans="1:23" x14ac:dyDescent="0.25">
      <c r="A1264" s="3" t="str">
        <f>HYPERLINK("http://ids.si.edu/ids/deliveryService?id=NMAH-AHB2013q044166","NMAH-AHB2013q044166")</f>
        <v>NMAH-AHB2013q044166</v>
      </c>
      <c r="B1264" s="3" t="s">
        <v>2907</v>
      </c>
      <c r="C1264" s="3">
        <v>1437592</v>
      </c>
      <c r="D1264" s="3" t="s">
        <v>1716</v>
      </c>
      <c r="E1264" s="4" t="s">
        <v>1727</v>
      </c>
      <c r="F1264" t="s">
        <v>196</v>
      </c>
      <c r="G1264">
        <v>0.90560901165008545</v>
      </c>
      <c r="H1264" t="s">
        <v>112</v>
      </c>
      <c r="I1264">
        <v>0.80401664972305298</v>
      </c>
      <c r="J1264" t="s">
        <v>310</v>
      </c>
      <c r="K1264" s="4">
        <v>0.74809408187866211</v>
      </c>
      <c r="L1264" t="s">
        <v>336</v>
      </c>
      <c r="M1264">
        <v>0.16220308999999999</v>
      </c>
      <c r="N1264" t="s">
        <v>369</v>
      </c>
      <c r="O1264">
        <v>6.2269173999999997E-2</v>
      </c>
      <c r="P1264" t="s">
        <v>239</v>
      </c>
      <c r="Q1264" s="4">
        <v>4.3301720000000002E-2</v>
      </c>
      <c r="R1264" t="s">
        <v>66</v>
      </c>
      <c r="S1264">
        <v>6.6619010000000006E-2</v>
      </c>
      <c r="T1264" t="s">
        <v>134</v>
      </c>
      <c r="U1264">
        <v>6.4298060000000004E-2</v>
      </c>
      <c r="V1264" t="s">
        <v>369</v>
      </c>
      <c r="W1264">
        <v>4.4944680000000001E-2</v>
      </c>
    </row>
    <row r="1265" spans="1:23" x14ac:dyDescent="0.25">
      <c r="A1265" s="3" t="str">
        <f>HYPERLINK("http://ids.si.edu/ids/deliveryService?id=NMAH-AHB2013q043817","NMAH-AHB2013q043817")</f>
        <v>NMAH-AHB2013q043817</v>
      </c>
      <c r="B1265" s="3" t="s">
        <v>2908</v>
      </c>
      <c r="C1265" s="3">
        <v>1437513</v>
      </c>
      <c r="D1265" s="3" t="s">
        <v>1716</v>
      </c>
      <c r="E1265" s="4" t="s">
        <v>1727</v>
      </c>
      <c r="F1265" t="s">
        <v>132</v>
      </c>
      <c r="G1265">
        <v>0.88201820850372314</v>
      </c>
      <c r="H1265" t="s">
        <v>112</v>
      </c>
      <c r="I1265">
        <v>0.68572378158569336</v>
      </c>
      <c r="J1265" t="s">
        <v>50</v>
      </c>
      <c r="K1265" s="4">
        <v>0.60706108808517456</v>
      </c>
      <c r="L1265" t="s">
        <v>209</v>
      </c>
      <c r="M1265">
        <v>0.17536858999999999</v>
      </c>
      <c r="N1265" t="s">
        <v>336</v>
      </c>
      <c r="O1265">
        <v>0.11224098</v>
      </c>
      <c r="P1265" t="s">
        <v>66</v>
      </c>
      <c r="Q1265" s="4">
        <v>7.9689620000000003E-2</v>
      </c>
      <c r="R1265" t="s">
        <v>151</v>
      </c>
      <c r="S1265">
        <v>0.10670006</v>
      </c>
      <c r="T1265" t="s">
        <v>66</v>
      </c>
      <c r="U1265">
        <v>0.10161321</v>
      </c>
      <c r="V1265" t="s">
        <v>148</v>
      </c>
      <c r="W1265">
        <v>9.0832934000000004E-2</v>
      </c>
    </row>
    <row r="1266" spans="1:23" x14ac:dyDescent="0.25">
      <c r="A1266" s="3" t="str">
        <f>HYPERLINK("http://ids.si.edu/ids/deliveryService?id=NMAH-NMAH2002-27347","NMAH-NMAH2002-27347")</f>
        <v>NMAH-NMAH2002-27347</v>
      </c>
      <c r="B1266" s="3" t="s">
        <v>2909</v>
      </c>
      <c r="C1266" s="3">
        <v>706636</v>
      </c>
      <c r="D1266" s="3" t="s">
        <v>1716</v>
      </c>
      <c r="E1266" s="4" t="s">
        <v>1801</v>
      </c>
      <c r="F1266" t="s">
        <v>50</v>
      </c>
      <c r="G1266">
        <v>0.7381446361541748</v>
      </c>
      <c r="H1266" t="s">
        <v>49</v>
      </c>
      <c r="I1266">
        <v>0.62169396877288818</v>
      </c>
      <c r="J1266" t="s">
        <v>62</v>
      </c>
      <c r="K1266" s="4">
        <v>0.50218719244003296</v>
      </c>
      <c r="L1266" t="s">
        <v>568</v>
      </c>
      <c r="M1266">
        <v>0.32204536</v>
      </c>
      <c r="N1266" t="s">
        <v>183</v>
      </c>
      <c r="O1266">
        <v>0.23724609999999999</v>
      </c>
      <c r="P1266" t="s">
        <v>313</v>
      </c>
      <c r="Q1266" s="4">
        <v>0.12658796999999999</v>
      </c>
      <c r="R1266" t="s">
        <v>568</v>
      </c>
      <c r="S1266">
        <v>0.13665774</v>
      </c>
      <c r="T1266" t="s">
        <v>175</v>
      </c>
      <c r="U1266">
        <v>0.11360008000000001</v>
      </c>
      <c r="V1266" t="s">
        <v>668</v>
      </c>
      <c r="W1266">
        <v>8.4130034000000006E-2</v>
      </c>
    </row>
    <row r="1267" spans="1:23" x14ac:dyDescent="0.25">
      <c r="A1267" s="3" t="str">
        <f>HYPERLINK("http://ids.si.edu/ids/deliveryService?id=NMAH-AHB2013q044303","NMAH-AHB2013q044303")</f>
        <v>NMAH-AHB2013q044303</v>
      </c>
      <c r="B1267" s="3" t="s">
        <v>2910</v>
      </c>
      <c r="C1267" s="3">
        <v>1437335</v>
      </c>
      <c r="D1267" s="3" t="s">
        <v>1716</v>
      </c>
      <c r="E1267" s="4" t="s">
        <v>1763</v>
      </c>
      <c r="F1267" t="s">
        <v>196</v>
      </c>
      <c r="G1267">
        <v>0.84841078519821167</v>
      </c>
      <c r="H1267" t="s">
        <v>112</v>
      </c>
      <c r="I1267">
        <v>0.78258353471755981</v>
      </c>
      <c r="J1267" t="s">
        <v>301</v>
      </c>
      <c r="K1267" s="4">
        <v>0.6635812520980835</v>
      </c>
      <c r="L1267" t="s">
        <v>336</v>
      </c>
      <c r="M1267">
        <v>0.27046403000000002</v>
      </c>
      <c r="N1267" t="s">
        <v>273</v>
      </c>
      <c r="O1267">
        <v>0.15277669999999999</v>
      </c>
      <c r="P1267" t="s">
        <v>443</v>
      </c>
      <c r="Q1267" s="4">
        <v>9.8374840000000005E-2</v>
      </c>
      <c r="R1267" t="s">
        <v>369</v>
      </c>
      <c r="S1267">
        <v>0.10653185</v>
      </c>
      <c r="T1267" t="s">
        <v>175</v>
      </c>
      <c r="U1267">
        <v>9.9750870000000005E-2</v>
      </c>
      <c r="V1267" t="s">
        <v>706</v>
      </c>
      <c r="W1267">
        <v>5.9020876999999999E-2</v>
      </c>
    </row>
    <row r="1268" spans="1:23" x14ac:dyDescent="0.25">
      <c r="A1268" s="3" t="str">
        <f>HYPERLINK("http://ids.si.edu/ids/deliveryService?id=NMAH-AHB2013q044295","NMAH-AHB2013q044295")</f>
        <v>NMAH-AHB2013q044295</v>
      </c>
      <c r="B1268" s="3" t="s">
        <v>2911</v>
      </c>
      <c r="C1268" s="3">
        <v>1437326</v>
      </c>
      <c r="D1268" s="3" t="s">
        <v>1716</v>
      </c>
      <c r="E1268" s="4" t="s">
        <v>1763</v>
      </c>
      <c r="F1268" t="s">
        <v>1774</v>
      </c>
      <c r="G1268">
        <v>0.83978605270385742</v>
      </c>
      <c r="H1268" t="s">
        <v>49</v>
      </c>
      <c r="I1268">
        <v>0.78828102350234985</v>
      </c>
      <c r="J1268" t="s">
        <v>38</v>
      </c>
      <c r="K1268" s="4">
        <v>0.73749923706054688</v>
      </c>
      <c r="L1268" t="s">
        <v>336</v>
      </c>
      <c r="M1268">
        <v>0.97598695999999996</v>
      </c>
      <c r="N1268" t="s">
        <v>149</v>
      </c>
      <c r="O1268">
        <v>1.0771607000000001E-2</v>
      </c>
      <c r="P1268" t="s">
        <v>1812</v>
      </c>
      <c r="Q1268" s="4">
        <v>3.5786680000000001E-3</v>
      </c>
      <c r="R1268" t="s">
        <v>336</v>
      </c>
      <c r="S1268">
        <v>0.61254405999999995</v>
      </c>
      <c r="T1268" t="s">
        <v>148</v>
      </c>
      <c r="U1268">
        <v>8.4631055999999996E-2</v>
      </c>
      <c r="V1268" t="s">
        <v>731</v>
      </c>
      <c r="W1268">
        <v>6.0264814999999999E-2</v>
      </c>
    </row>
    <row r="1269" spans="1:23" x14ac:dyDescent="0.25">
      <c r="A1269" s="3" t="str">
        <f>HYPERLINK("http://ids.si.edu/ids/deliveryService?id=NMAH-RWS2014-03061","NMAH-RWS2014-03061")</f>
        <v>NMAH-RWS2014-03061</v>
      </c>
      <c r="B1269" s="3" t="s">
        <v>2912</v>
      </c>
      <c r="C1269" s="3">
        <v>1463599</v>
      </c>
      <c r="D1269" s="3" t="s">
        <v>1716</v>
      </c>
      <c r="E1269" s="4" t="s">
        <v>1874</v>
      </c>
      <c r="F1269" t="s">
        <v>1108</v>
      </c>
      <c r="G1269">
        <v>0.92492687702178955</v>
      </c>
      <c r="H1269" t="s">
        <v>1191</v>
      </c>
      <c r="I1269">
        <v>0.86242091655731201</v>
      </c>
      <c r="J1269" t="s">
        <v>38</v>
      </c>
      <c r="K1269" s="4">
        <v>0.76309281587600708</v>
      </c>
      <c r="L1269" t="s">
        <v>66</v>
      </c>
      <c r="M1269">
        <v>0.59714126999999995</v>
      </c>
      <c r="N1269" t="s">
        <v>79</v>
      </c>
      <c r="O1269">
        <v>0.14231679</v>
      </c>
      <c r="P1269" t="s">
        <v>45</v>
      </c>
      <c r="Q1269" s="4">
        <v>0.11691832000000001</v>
      </c>
      <c r="R1269" t="s">
        <v>66</v>
      </c>
      <c r="S1269">
        <v>0.63579774</v>
      </c>
      <c r="T1269" t="s">
        <v>79</v>
      </c>
      <c r="U1269">
        <v>7.8109940000000003E-2</v>
      </c>
      <c r="V1269" t="s">
        <v>65</v>
      </c>
      <c r="W1269">
        <v>4.2241359999999999E-2</v>
      </c>
    </row>
    <row r="1270" spans="1:23" x14ac:dyDescent="0.25">
      <c r="A1270" s="3" t="str">
        <f>HYPERLINK("http://ids.si.edu/ids/deliveryService?id=NMAH-AHB2013q044210","NMAH-AHB2013q044210")</f>
        <v>NMAH-AHB2013q044210</v>
      </c>
      <c r="B1270" s="3" t="s">
        <v>2913</v>
      </c>
      <c r="C1270" s="3">
        <v>1437643</v>
      </c>
      <c r="D1270" s="3" t="s">
        <v>1716</v>
      </c>
      <c r="E1270" s="4" t="s">
        <v>1727</v>
      </c>
      <c r="F1270" t="s">
        <v>310</v>
      </c>
      <c r="G1270">
        <v>0.7060161828994751</v>
      </c>
      <c r="H1270" t="s">
        <v>112</v>
      </c>
      <c r="I1270">
        <v>0.68572378158569336</v>
      </c>
      <c r="J1270" t="s">
        <v>301</v>
      </c>
      <c r="K1270" s="4">
        <v>0.67159384489059448</v>
      </c>
      <c r="L1270" t="s">
        <v>336</v>
      </c>
      <c r="M1270">
        <v>0.97513250000000007</v>
      </c>
      <c r="N1270" t="s">
        <v>259</v>
      </c>
      <c r="O1270">
        <v>5.471124E-3</v>
      </c>
      <c r="P1270" t="s">
        <v>261</v>
      </c>
      <c r="Q1270" s="4">
        <v>5.3999989999999999E-3</v>
      </c>
      <c r="R1270" t="s">
        <v>336</v>
      </c>
      <c r="S1270">
        <v>0.22888043999999999</v>
      </c>
      <c r="T1270" t="s">
        <v>175</v>
      </c>
      <c r="U1270">
        <v>0.14089428000000001</v>
      </c>
      <c r="V1270" t="s">
        <v>174</v>
      </c>
      <c r="W1270">
        <v>4.4371235999999988E-2</v>
      </c>
    </row>
    <row r="1271" spans="1:23" x14ac:dyDescent="0.25">
      <c r="A1271" s="3" t="str">
        <f>HYPERLINK("http://ids.si.edu/ids/deliveryService?id=NMAH-RWS2011-02179","NMAH-RWS2011-02179")</f>
        <v>NMAH-RWS2011-02179</v>
      </c>
      <c r="B1271" s="3" t="s">
        <v>2914</v>
      </c>
      <c r="C1271" s="3">
        <v>1300924</v>
      </c>
      <c r="D1271" s="3" t="s">
        <v>1716</v>
      </c>
      <c r="E1271" s="4" t="s">
        <v>2915</v>
      </c>
      <c r="F1271" t="s">
        <v>1150</v>
      </c>
      <c r="G1271">
        <v>0.71802222728729248</v>
      </c>
      <c r="H1271" t="s">
        <v>2916</v>
      </c>
      <c r="I1271">
        <v>0.57181799411773682</v>
      </c>
      <c r="L1271" t="s">
        <v>638</v>
      </c>
      <c r="M1271">
        <v>0.20159228000000001</v>
      </c>
      <c r="N1271" t="s">
        <v>1110</v>
      </c>
      <c r="O1271">
        <v>0.12957196000000001</v>
      </c>
      <c r="P1271" t="s">
        <v>1168</v>
      </c>
      <c r="Q1271" s="4">
        <v>7.5504489999999994E-2</v>
      </c>
      <c r="R1271" t="s">
        <v>213</v>
      </c>
      <c r="S1271">
        <v>0.64817625000000001</v>
      </c>
      <c r="T1271" t="s">
        <v>364</v>
      </c>
      <c r="U1271">
        <v>3.5151463000000001E-2</v>
      </c>
      <c r="V1271" t="s">
        <v>893</v>
      </c>
      <c r="W1271">
        <v>1.9017585E-2</v>
      </c>
    </row>
    <row r="1272" spans="1:23" x14ac:dyDescent="0.25">
      <c r="A1272" s="3" t="str">
        <f>HYPERLINK("http://ids.si.edu/ids/deliveryService?id=NMAH-AHB2013q043549","NMAH-AHB2013q043549")</f>
        <v>NMAH-AHB2013q043549</v>
      </c>
      <c r="B1272" s="3" t="s">
        <v>2917</v>
      </c>
      <c r="C1272" s="3">
        <v>1437493</v>
      </c>
      <c r="D1272" s="3" t="s">
        <v>1716</v>
      </c>
      <c r="E1272" s="4" t="s">
        <v>1727</v>
      </c>
      <c r="F1272" t="s">
        <v>91</v>
      </c>
      <c r="G1272">
        <v>0.88283330202102661</v>
      </c>
      <c r="H1272" t="s">
        <v>112</v>
      </c>
      <c r="I1272">
        <v>0.68572378158569336</v>
      </c>
      <c r="J1272" t="s">
        <v>656</v>
      </c>
      <c r="K1272" s="4">
        <v>0.64588665962219238</v>
      </c>
      <c r="L1272" t="s">
        <v>170</v>
      </c>
      <c r="M1272">
        <v>8.9565779999999998E-2</v>
      </c>
      <c r="N1272" t="s">
        <v>1099</v>
      </c>
      <c r="O1272">
        <v>8.4287554000000001E-2</v>
      </c>
      <c r="P1272" t="s">
        <v>1338</v>
      </c>
      <c r="Q1272" s="4">
        <v>8.0999399999999985E-2</v>
      </c>
      <c r="R1272" t="s">
        <v>149</v>
      </c>
      <c r="S1272">
        <v>5.0212386999999997E-2</v>
      </c>
      <c r="T1272" t="s">
        <v>444</v>
      </c>
      <c r="U1272">
        <v>3.9533726999999998E-2</v>
      </c>
      <c r="V1272" t="s">
        <v>369</v>
      </c>
      <c r="W1272">
        <v>3.9012249999999998E-2</v>
      </c>
    </row>
    <row r="1273" spans="1:23" x14ac:dyDescent="0.25">
      <c r="A1273" s="3" t="str">
        <f>HYPERLINK("http://ids.si.edu/ids/deliveryService?id=NMAH-AHB2012q12693","NMAH-AHB2012q12693")</f>
        <v>NMAH-AHB2012q12693</v>
      </c>
      <c r="B1273" s="3" t="s">
        <v>2918</v>
      </c>
      <c r="C1273" s="3">
        <v>1378188</v>
      </c>
      <c r="D1273" s="3" t="s">
        <v>1716</v>
      </c>
      <c r="E1273" s="4" t="s">
        <v>842</v>
      </c>
      <c r="F1273" t="s">
        <v>1224</v>
      </c>
      <c r="G1273">
        <v>0.77611130475997925</v>
      </c>
      <c r="H1273" t="s">
        <v>112</v>
      </c>
      <c r="I1273">
        <v>0.68572378158569336</v>
      </c>
      <c r="J1273" t="s">
        <v>195</v>
      </c>
      <c r="K1273" s="4">
        <v>0.65061032772064209</v>
      </c>
      <c r="L1273" t="s">
        <v>66</v>
      </c>
      <c r="M1273">
        <v>0.34804410000000002</v>
      </c>
      <c r="N1273" t="s">
        <v>79</v>
      </c>
      <c r="O1273">
        <v>0.19039113999999999</v>
      </c>
      <c r="P1273" t="s">
        <v>156</v>
      </c>
      <c r="Q1273" s="4">
        <v>2.6297201999999999E-2</v>
      </c>
      <c r="R1273" t="s">
        <v>303</v>
      </c>
      <c r="S1273">
        <v>0.106140465</v>
      </c>
      <c r="T1273" t="s">
        <v>369</v>
      </c>
      <c r="U1273">
        <v>6.8942310000000007E-2</v>
      </c>
      <c r="V1273" t="s">
        <v>183</v>
      </c>
      <c r="W1273">
        <v>4.3781420000000001E-2</v>
      </c>
    </row>
    <row r="1274" spans="1:23" x14ac:dyDescent="0.25">
      <c r="A1274" s="3" t="str">
        <f>HYPERLINK("http://ids.si.edu/ids/deliveryService?id=NMAH-JN2012-0711","NMAH-JN2012-0711")</f>
        <v>NMAH-JN2012-0711</v>
      </c>
      <c r="B1274" s="3" t="s">
        <v>2919</v>
      </c>
      <c r="C1274" s="3">
        <v>1200811</v>
      </c>
      <c r="D1274" s="3" t="s">
        <v>1716</v>
      </c>
      <c r="E1274" s="4" t="s">
        <v>2920</v>
      </c>
      <c r="F1274" t="s">
        <v>1162</v>
      </c>
      <c r="G1274">
        <v>0.95099067687988281</v>
      </c>
      <c r="H1274" t="s">
        <v>91</v>
      </c>
      <c r="I1274">
        <v>0.88283330202102661</v>
      </c>
      <c r="J1274" t="s">
        <v>1298</v>
      </c>
      <c r="K1274" s="4">
        <v>0.63773983716964722</v>
      </c>
      <c r="L1274" t="s">
        <v>86</v>
      </c>
      <c r="M1274">
        <v>0.41126590000000007</v>
      </c>
      <c r="N1274" t="s">
        <v>113</v>
      </c>
      <c r="O1274">
        <v>0.23475343000000001</v>
      </c>
      <c r="P1274" t="s">
        <v>847</v>
      </c>
      <c r="Q1274" s="4">
        <v>0.11792128</v>
      </c>
      <c r="R1274" t="s">
        <v>678</v>
      </c>
      <c r="S1274">
        <v>0.17256721999999999</v>
      </c>
      <c r="T1274" t="s">
        <v>113</v>
      </c>
      <c r="U1274">
        <v>0.13648118000000001</v>
      </c>
      <c r="V1274" t="s">
        <v>706</v>
      </c>
      <c r="W1274">
        <v>0.10421104</v>
      </c>
    </row>
    <row r="1275" spans="1:23" x14ac:dyDescent="0.25">
      <c r="A1275" s="3" t="str">
        <f>HYPERLINK("http://ids.si.edu/ids/deliveryService?id=NMAH-AHB2013q043497","NMAH-AHB2013q043497")</f>
        <v>NMAH-AHB2013q043497</v>
      </c>
      <c r="B1275" s="3" t="s">
        <v>2921</v>
      </c>
      <c r="C1275" s="3">
        <v>1437472</v>
      </c>
      <c r="D1275" s="3" t="s">
        <v>1716</v>
      </c>
      <c r="E1275" s="4" t="s">
        <v>1727</v>
      </c>
      <c r="F1275" t="s">
        <v>132</v>
      </c>
      <c r="G1275">
        <v>0.88201820850372314</v>
      </c>
      <c r="H1275" t="s">
        <v>49</v>
      </c>
      <c r="I1275">
        <v>0.87318134307861328</v>
      </c>
      <c r="J1275" t="s">
        <v>50</v>
      </c>
      <c r="K1275" s="4">
        <v>0.7537727952003479</v>
      </c>
      <c r="L1275" t="s">
        <v>239</v>
      </c>
      <c r="M1275">
        <v>0.11603667600000001</v>
      </c>
      <c r="N1275" t="s">
        <v>66</v>
      </c>
      <c r="O1275">
        <v>9.5682580000000003E-2</v>
      </c>
      <c r="P1275" t="s">
        <v>149</v>
      </c>
      <c r="Q1275" s="4">
        <v>8.6082530000000004E-2</v>
      </c>
      <c r="R1275" t="s">
        <v>175</v>
      </c>
      <c r="S1275">
        <v>7.3631180000000004E-2</v>
      </c>
      <c r="T1275" t="s">
        <v>765</v>
      </c>
      <c r="U1275">
        <v>6.5315600000000001E-2</v>
      </c>
      <c r="V1275" t="s">
        <v>93</v>
      </c>
      <c r="W1275">
        <v>5.5800035999999997E-2</v>
      </c>
    </row>
    <row r="1276" spans="1:23" x14ac:dyDescent="0.25">
      <c r="A1276" s="3" t="str">
        <f>HYPERLINK("http://ids.si.edu/ids/deliveryService?id=NMAH-AHB2014q017260","NMAH-AHB2014q017260")</f>
        <v>NMAH-AHB2014q017260</v>
      </c>
      <c r="B1276" s="3" t="s">
        <v>2922</v>
      </c>
      <c r="C1276" s="3">
        <v>1464740</v>
      </c>
      <c r="D1276" s="3" t="s">
        <v>1716</v>
      </c>
      <c r="E1276" s="4" t="s">
        <v>2923</v>
      </c>
      <c r="F1276" t="s">
        <v>603</v>
      </c>
      <c r="G1276">
        <v>0.95183259248733521</v>
      </c>
      <c r="H1276" t="s">
        <v>91</v>
      </c>
      <c r="I1276">
        <v>0.91031128168106079</v>
      </c>
      <c r="J1276" t="s">
        <v>1623</v>
      </c>
      <c r="K1276" s="4">
        <v>0.82534998655319214</v>
      </c>
      <c r="L1276" t="s">
        <v>149</v>
      </c>
      <c r="M1276">
        <v>0.89167949999999996</v>
      </c>
      <c r="N1276" t="s">
        <v>369</v>
      </c>
      <c r="O1276">
        <v>2.0126959999999999E-2</v>
      </c>
      <c r="P1276" t="s">
        <v>501</v>
      </c>
      <c r="Q1276" s="4">
        <v>9.0356450000000001E-3</v>
      </c>
      <c r="R1276" t="s">
        <v>149</v>
      </c>
      <c r="S1276">
        <v>0.46180500000000002</v>
      </c>
      <c r="T1276" t="s">
        <v>444</v>
      </c>
      <c r="U1276">
        <v>7.5726290000000002E-2</v>
      </c>
      <c r="V1276" t="s">
        <v>369</v>
      </c>
      <c r="W1276">
        <v>7.1149740000000003E-2</v>
      </c>
    </row>
    <row r="1277" spans="1:23" x14ac:dyDescent="0.25">
      <c r="A1277" s="3" t="str">
        <f>HYPERLINK("http://ids.si.edu/ids/deliveryService?id=NMAH-NMAH2002-27401","NMAH-NMAH2002-27401")</f>
        <v>NMAH-NMAH2002-27401</v>
      </c>
      <c r="B1277" s="3" t="s">
        <v>2924</v>
      </c>
      <c r="C1277" s="3">
        <v>706646</v>
      </c>
      <c r="D1277" s="3" t="s">
        <v>1716</v>
      </c>
      <c r="E1277" s="4" t="s">
        <v>1801</v>
      </c>
      <c r="F1277" t="s">
        <v>50</v>
      </c>
      <c r="G1277">
        <v>0.85560613870620728</v>
      </c>
      <c r="H1277" t="s">
        <v>505</v>
      </c>
      <c r="I1277">
        <v>0.83979684114456177</v>
      </c>
      <c r="J1277" t="s">
        <v>415</v>
      </c>
      <c r="K1277" s="4">
        <v>0.76216608285903931</v>
      </c>
      <c r="L1277" t="s">
        <v>411</v>
      </c>
      <c r="M1277">
        <v>0.40472794000000001</v>
      </c>
      <c r="N1277" t="s">
        <v>313</v>
      </c>
      <c r="O1277">
        <v>0.13309636999999999</v>
      </c>
      <c r="P1277" t="s">
        <v>314</v>
      </c>
      <c r="Q1277" s="4">
        <v>0.12827040000000001</v>
      </c>
      <c r="R1277" t="s">
        <v>175</v>
      </c>
      <c r="S1277">
        <v>0.34186575000000002</v>
      </c>
      <c r="T1277" t="s">
        <v>820</v>
      </c>
      <c r="U1277">
        <v>0.11002192</v>
      </c>
      <c r="V1277" t="s">
        <v>212</v>
      </c>
      <c r="W1277">
        <v>9.9174659999999998E-2</v>
      </c>
    </row>
    <row r="1278" spans="1:23" x14ac:dyDescent="0.25">
      <c r="A1278" s="3" t="str">
        <f>HYPERLINK("http://ids.si.edu/ids/deliveryService?id=NMAH-AHB2013q043411","NMAH-AHB2013q043411")</f>
        <v>NMAH-AHB2013q043411</v>
      </c>
      <c r="B1278" s="3" t="s">
        <v>2925</v>
      </c>
      <c r="C1278" s="3">
        <v>1437401</v>
      </c>
      <c r="D1278" s="3" t="s">
        <v>1716</v>
      </c>
      <c r="E1278" s="4" t="s">
        <v>1727</v>
      </c>
      <c r="F1278" t="s">
        <v>50</v>
      </c>
      <c r="G1278">
        <v>0.7381446361541748</v>
      </c>
      <c r="H1278" t="s">
        <v>112</v>
      </c>
      <c r="I1278">
        <v>0.68572378158569336</v>
      </c>
      <c r="J1278" t="s">
        <v>49</v>
      </c>
      <c r="K1278" s="4">
        <v>0.67519748210906982</v>
      </c>
      <c r="L1278" t="s">
        <v>79</v>
      </c>
      <c r="M1278">
        <v>0.23859285999999999</v>
      </c>
      <c r="N1278" t="s">
        <v>174</v>
      </c>
      <c r="O1278">
        <v>0.22537895999999999</v>
      </c>
      <c r="P1278" t="s">
        <v>545</v>
      </c>
      <c r="Q1278" s="4">
        <v>0.1950018</v>
      </c>
      <c r="R1278" t="s">
        <v>174</v>
      </c>
      <c r="S1278">
        <v>7.0673730000000004E-2</v>
      </c>
      <c r="T1278" t="s">
        <v>545</v>
      </c>
      <c r="U1278">
        <v>6.687477E-2</v>
      </c>
      <c r="V1278" t="s">
        <v>175</v>
      </c>
      <c r="W1278">
        <v>5.0593226999999998E-2</v>
      </c>
    </row>
    <row r="1279" spans="1:23" x14ac:dyDescent="0.25">
      <c r="A1279" s="3" t="str">
        <f>HYPERLINK("http://ids.si.edu/ids/deliveryService?id=NMAH-AHB2013q044809","NMAH-AHB2013q044809")</f>
        <v>NMAH-AHB2013q044809</v>
      </c>
      <c r="B1279" s="3" t="s">
        <v>2926</v>
      </c>
      <c r="C1279" s="3">
        <v>1437978</v>
      </c>
      <c r="D1279" s="3" t="s">
        <v>1716</v>
      </c>
      <c r="E1279" s="4" t="s">
        <v>1761</v>
      </c>
      <c r="F1279" t="s">
        <v>112</v>
      </c>
      <c r="G1279">
        <v>0.68572378158569336</v>
      </c>
      <c r="H1279" t="s">
        <v>38</v>
      </c>
      <c r="I1279">
        <v>0.57686591148376465</v>
      </c>
      <c r="L1279" t="s">
        <v>113</v>
      </c>
      <c r="M1279">
        <v>0.71784775999999995</v>
      </c>
      <c r="N1279" t="s">
        <v>336</v>
      </c>
      <c r="O1279">
        <v>0.12556535999999999</v>
      </c>
      <c r="P1279" t="s">
        <v>357</v>
      </c>
      <c r="Q1279" s="4">
        <v>1.8562835E-2</v>
      </c>
      <c r="R1279" t="s">
        <v>149</v>
      </c>
      <c r="S1279">
        <v>0.25434590000000001</v>
      </c>
      <c r="T1279" t="s">
        <v>336</v>
      </c>
      <c r="U1279">
        <v>0.22297305000000001</v>
      </c>
      <c r="V1279" t="s">
        <v>369</v>
      </c>
      <c r="W1279">
        <v>8.7120033999999999E-2</v>
      </c>
    </row>
    <row r="1280" spans="1:23" x14ac:dyDescent="0.25">
      <c r="A1280" s="3" t="str">
        <f>HYPERLINK("http://ids.si.edu/ids/deliveryService?id=NMAH-JN2014-4194","NMAH-JN2014-4194")</f>
        <v>NMAH-JN2014-4194</v>
      </c>
      <c r="B1280" s="3" t="s">
        <v>2927</v>
      </c>
      <c r="C1280" s="3">
        <v>1695165</v>
      </c>
      <c r="D1280" s="3" t="s">
        <v>1716</v>
      </c>
      <c r="E1280" s="4" t="s">
        <v>2928</v>
      </c>
      <c r="F1280" t="s">
        <v>188</v>
      </c>
      <c r="G1280">
        <v>0.89401388168334961</v>
      </c>
      <c r="H1280" t="s">
        <v>947</v>
      </c>
      <c r="I1280">
        <v>0.84540683031082153</v>
      </c>
      <c r="J1280" t="s">
        <v>667</v>
      </c>
      <c r="K1280" s="4">
        <v>0.75291454792022705</v>
      </c>
      <c r="L1280" t="s">
        <v>189</v>
      </c>
      <c r="M1280">
        <v>0.14325234000000001</v>
      </c>
      <c r="N1280" t="s">
        <v>876</v>
      </c>
      <c r="O1280">
        <v>0.10222816999999999</v>
      </c>
      <c r="P1280" t="s">
        <v>157</v>
      </c>
      <c r="Q1280" s="4">
        <v>9.9741560000000007E-2</v>
      </c>
      <c r="R1280" t="s">
        <v>35</v>
      </c>
      <c r="S1280">
        <v>0.28894195</v>
      </c>
      <c r="T1280" t="s">
        <v>157</v>
      </c>
      <c r="U1280">
        <v>0.18625115</v>
      </c>
      <c r="V1280" t="s">
        <v>141</v>
      </c>
      <c r="W1280">
        <v>7.3062450000000001E-2</v>
      </c>
    </row>
    <row r="1281" spans="1:23" x14ac:dyDescent="0.25">
      <c r="A1281" s="3" t="str">
        <f>HYPERLINK("http://ids.si.edu/ids/deliveryService?id=NMAH-AHB2013q043823","NMAH-AHB2013q043823")</f>
        <v>NMAH-AHB2013q043823</v>
      </c>
      <c r="B1281" s="3" t="s">
        <v>2929</v>
      </c>
      <c r="C1281" s="3">
        <v>1437509</v>
      </c>
      <c r="D1281" s="3" t="s">
        <v>1716</v>
      </c>
      <c r="E1281" s="4" t="s">
        <v>1727</v>
      </c>
      <c r="F1281" t="s">
        <v>61</v>
      </c>
      <c r="G1281">
        <v>0.90795594453811646</v>
      </c>
      <c r="H1281" t="s">
        <v>1774</v>
      </c>
      <c r="I1281">
        <v>0.8230278491973877</v>
      </c>
      <c r="J1281" t="s">
        <v>112</v>
      </c>
      <c r="K1281" s="4">
        <v>0.81951183080673218</v>
      </c>
      <c r="L1281" t="s">
        <v>66</v>
      </c>
      <c r="M1281">
        <v>0.16349607999999999</v>
      </c>
      <c r="N1281" t="s">
        <v>1812</v>
      </c>
      <c r="O1281">
        <v>7.3190779999999997E-2</v>
      </c>
      <c r="P1281" t="s">
        <v>43</v>
      </c>
      <c r="Q1281" s="4">
        <v>7.1897219999999998E-2</v>
      </c>
      <c r="R1281" t="s">
        <v>66</v>
      </c>
      <c r="S1281">
        <v>7.8166860000000005E-2</v>
      </c>
      <c r="T1281" t="s">
        <v>312</v>
      </c>
      <c r="U1281">
        <v>5.8893286000000003E-2</v>
      </c>
      <c r="V1281" t="s">
        <v>253</v>
      </c>
      <c r="W1281">
        <v>3.9324856999999998E-2</v>
      </c>
    </row>
    <row r="1282" spans="1:23" x14ac:dyDescent="0.25">
      <c r="A1282" s="3" t="str">
        <f>HYPERLINK("http://ids.si.edu/ids/deliveryService?id=NMAH-AHB2013q044427","NMAH-AHB2013q044427")</f>
        <v>NMAH-AHB2013q044427</v>
      </c>
      <c r="B1282" s="3" t="s">
        <v>2930</v>
      </c>
      <c r="C1282" s="3">
        <v>1437773</v>
      </c>
      <c r="D1282" s="3" t="s">
        <v>1716</v>
      </c>
      <c r="E1282" s="4" t="s">
        <v>1727</v>
      </c>
      <c r="F1282" t="s">
        <v>112</v>
      </c>
      <c r="G1282">
        <v>0.78258353471755981</v>
      </c>
      <c r="H1282" t="s">
        <v>1757</v>
      </c>
      <c r="I1282">
        <v>0.69442117214202881</v>
      </c>
      <c r="J1282" t="s">
        <v>188</v>
      </c>
      <c r="K1282" s="4">
        <v>0.69050949811935425</v>
      </c>
      <c r="L1282" t="s">
        <v>336</v>
      </c>
      <c r="M1282">
        <v>0.18748097</v>
      </c>
      <c r="N1282" t="s">
        <v>847</v>
      </c>
      <c r="O1282">
        <v>6.5330250000000006E-2</v>
      </c>
      <c r="P1282" t="s">
        <v>199</v>
      </c>
      <c r="Q1282" s="4">
        <v>4.6817772000000001E-2</v>
      </c>
      <c r="R1282" t="s">
        <v>336</v>
      </c>
      <c r="S1282">
        <v>0.17095582000000001</v>
      </c>
      <c r="T1282" t="s">
        <v>95</v>
      </c>
      <c r="U1282">
        <v>0.13651680999999999</v>
      </c>
      <c r="V1282" t="s">
        <v>159</v>
      </c>
      <c r="W1282">
        <v>5.3456463000000003E-2</v>
      </c>
    </row>
    <row r="1283" spans="1:23" x14ac:dyDescent="0.25">
      <c r="A1283" s="3" t="str">
        <f>HYPERLINK("http://ids.si.edu/ids/deliveryService?id=NMAH-NMAH2002-27314","NMAH-NMAH2002-27314")</f>
        <v>NMAH-NMAH2002-27314</v>
      </c>
      <c r="B1283" s="3" t="s">
        <v>2931</v>
      </c>
      <c r="C1283" s="3">
        <v>706635</v>
      </c>
      <c r="D1283" s="3" t="s">
        <v>1716</v>
      </c>
      <c r="E1283" s="4" t="s">
        <v>1801</v>
      </c>
      <c r="F1283" t="s">
        <v>2932</v>
      </c>
      <c r="G1283">
        <v>0.7134210467338562</v>
      </c>
      <c r="H1283" t="s">
        <v>346</v>
      </c>
      <c r="I1283">
        <v>0.52516907453536987</v>
      </c>
      <c r="J1283" t="s">
        <v>50</v>
      </c>
      <c r="K1283" s="4">
        <v>0.5114516019821167</v>
      </c>
      <c r="L1283" t="s">
        <v>523</v>
      </c>
      <c r="M1283">
        <v>0.93783945000000002</v>
      </c>
      <c r="N1283" t="s">
        <v>150</v>
      </c>
      <c r="O1283">
        <v>3.5133763999999998E-2</v>
      </c>
      <c r="P1283" t="s">
        <v>784</v>
      </c>
      <c r="Q1283" s="4">
        <v>1.6978483999999999E-2</v>
      </c>
      <c r="R1283" t="s">
        <v>523</v>
      </c>
      <c r="S1283">
        <v>0.8822873</v>
      </c>
      <c r="T1283" t="s">
        <v>784</v>
      </c>
      <c r="U1283">
        <v>6.0475363999999997E-2</v>
      </c>
      <c r="V1283" t="s">
        <v>259</v>
      </c>
      <c r="W1283">
        <v>2.0851212000000001E-2</v>
      </c>
    </row>
    <row r="1284" spans="1:23" x14ac:dyDescent="0.25">
      <c r="A1284" s="3" t="str">
        <f>HYPERLINK("http://ids.si.edu/ids/deliveryService?id=NMAH-AHB2013q044807","NMAH-AHB2013q044807")</f>
        <v>NMAH-AHB2013q044807</v>
      </c>
      <c r="B1284" s="3" t="s">
        <v>2933</v>
      </c>
      <c r="C1284" s="3">
        <v>1437975</v>
      </c>
      <c r="D1284" s="3" t="s">
        <v>1716</v>
      </c>
      <c r="E1284" s="4" t="s">
        <v>1761</v>
      </c>
      <c r="F1284" t="s">
        <v>112</v>
      </c>
      <c r="G1284">
        <v>0.83145445585250854</v>
      </c>
      <c r="H1284" t="s">
        <v>1909</v>
      </c>
      <c r="I1284">
        <v>0.50872987508773804</v>
      </c>
      <c r="L1284" t="s">
        <v>336</v>
      </c>
      <c r="M1284">
        <v>0.91668159999999987</v>
      </c>
      <c r="N1284" t="s">
        <v>149</v>
      </c>
      <c r="O1284">
        <v>5.3070284000000002E-2</v>
      </c>
      <c r="P1284" t="s">
        <v>444</v>
      </c>
      <c r="Q1284" s="4">
        <v>5.6861730000000001E-3</v>
      </c>
      <c r="R1284" t="s">
        <v>149</v>
      </c>
      <c r="S1284">
        <v>0.4801397</v>
      </c>
      <c r="T1284" t="s">
        <v>336</v>
      </c>
      <c r="U1284">
        <v>0.12199731</v>
      </c>
      <c r="V1284" t="s">
        <v>175</v>
      </c>
      <c r="W1284">
        <v>4.0561675999999998E-2</v>
      </c>
    </row>
    <row r="1285" spans="1:23" x14ac:dyDescent="0.25">
      <c r="A1285" s="3" t="str">
        <f>HYPERLINK("http://ids.si.edu/ids/deliveryService?id=NMAH-JN2015-5084","NMAH-JN2015-5084")</f>
        <v>NMAH-JN2015-5084</v>
      </c>
      <c r="B1285" s="3" t="s">
        <v>2934</v>
      </c>
      <c r="C1285" s="3">
        <v>1591061</v>
      </c>
      <c r="D1285" s="3" t="s">
        <v>1716</v>
      </c>
      <c r="E1285" s="4" t="s">
        <v>1747</v>
      </c>
      <c r="F1285" t="s">
        <v>439</v>
      </c>
      <c r="G1285">
        <v>0.82914060354232788</v>
      </c>
      <c r="H1285" t="s">
        <v>441</v>
      </c>
      <c r="I1285">
        <v>0.79705119132995605</v>
      </c>
      <c r="J1285" t="s">
        <v>615</v>
      </c>
      <c r="K1285" s="4">
        <v>0.68966531753540039</v>
      </c>
      <c r="L1285" t="s">
        <v>1426</v>
      </c>
      <c r="M1285">
        <v>0.54490930000000004</v>
      </c>
      <c r="N1285" t="s">
        <v>1427</v>
      </c>
      <c r="O1285">
        <v>0.37789714000000002</v>
      </c>
      <c r="P1285" t="s">
        <v>460</v>
      </c>
      <c r="Q1285" s="4">
        <v>4.3847810000000001E-2</v>
      </c>
      <c r="R1285" t="s">
        <v>1426</v>
      </c>
      <c r="S1285">
        <v>0.32536053999999998</v>
      </c>
      <c r="T1285" t="s">
        <v>460</v>
      </c>
      <c r="U1285">
        <v>0.27773537999999998</v>
      </c>
      <c r="V1285" t="s">
        <v>1427</v>
      </c>
      <c r="W1285">
        <v>0.20155007</v>
      </c>
    </row>
    <row r="1286" spans="1:23" x14ac:dyDescent="0.25">
      <c r="A1286" s="3" t="str">
        <f>HYPERLINK("http://ids.si.edu/ids/deliveryService?id=NMAH-RWS2011-00457","NMAH-RWS2011-00457")</f>
        <v>NMAH-RWS2011-00457</v>
      </c>
      <c r="B1286" s="3" t="s">
        <v>2935</v>
      </c>
      <c r="C1286" s="3">
        <v>679427</v>
      </c>
      <c r="D1286" s="3" t="s">
        <v>1716</v>
      </c>
      <c r="E1286" s="4" t="s">
        <v>1384</v>
      </c>
      <c r="F1286" t="s">
        <v>61</v>
      </c>
      <c r="G1286">
        <v>0.94669193029403687</v>
      </c>
      <c r="H1286" t="s">
        <v>132</v>
      </c>
      <c r="I1286">
        <v>0.94476872682571411</v>
      </c>
      <c r="J1286" t="s">
        <v>112</v>
      </c>
      <c r="K1286" s="4">
        <v>0.9392736554145813</v>
      </c>
      <c r="L1286" t="s">
        <v>1125</v>
      </c>
      <c r="M1286">
        <v>0.21230382</v>
      </c>
      <c r="N1286" t="s">
        <v>358</v>
      </c>
      <c r="O1286">
        <v>0.17836629000000001</v>
      </c>
      <c r="P1286" t="s">
        <v>1013</v>
      </c>
      <c r="Q1286" s="4">
        <v>4.9207687E-2</v>
      </c>
      <c r="R1286" t="s">
        <v>185</v>
      </c>
      <c r="S1286">
        <v>0.13479377000000001</v>
      </c>
      <c r="T1286" t="s">
        <v>1125</v>
      </c>
      <c r="U1286">
        <v>0.11175303</v>
      </c>
      <c r="V1286" t="s">
        <v>2194</v>
      </c>
      <c r="W1286">
        <v>4.598675E-2</v>
      </c>
    </row>
    <row r="1287" spans="1:23" x14ac:dyDescent="0.25">
      <c r="A1287" s="3" t="str">
        <f>HYPERLINK("http://ids.si.edu/ids/deliveryService?id=NMAH-AHB2013q043669","NMAH-AHB2013q043669")</f>
        <v>NMAH-AHB2013q043669</v>
      </c>
      <c r="B1287" s="3" t="s">
        <v>2936</v>
      </c>
      <c r="C1287" s="3">
        <v>1437115</v>
      </c>
      <c r="D1287" s="3" t="s">
        <v>1716</v>
      </c>
      <c r="E1287" s="4" t="s">
        <v>336</v>
      </c>
      <c r="F1287" t="s">
        <v>38</v>
      </c>
      <c r="G1287">
        <v>0.82498353719711304</v>
      </c>
      <c r="H1287" t="s">
        <v>112</v>
      </c>
      <c r="I1287">
        <v>0.68572378158569336</v>
      </c>
      <c r="J1287" t="s">
        <v>188</v>
      </c>
      <c r="K1287" s="4">
        <v>0.54580080509185791</v>
      </c>
      <c r="L1287" t="s">
        <v>336</v>
      </c>
      <c r="M1287">
        <v>0.9762999</v>
      </c>
      <c r="N1287" t="s">
        <v>149</v>
      </c>
      <c r="O1287">
        <v>1.5224237999999999E-2</v>
      </c>
      <c r="P1287" t="s">
        <v>148</v>
      </c>
      <c r="Q1287" s="4">
        <v>5.8857724000000002E-3</v>
      </c>
      <c r="R1287" t="s">
        <v>336</v>
      </c>
      <c r="S1287">
        <v>0.28708178000000001</v>
      </c>
      <c r="T1287" t="s">
        <v>369</v>
      </c>
      <c r="U1287">
        <v>0.21032055</v>
      </c>
      <c r="V1287" t="s">
        <v>149</v>
      </c>
      <c r="W1287">
        <v>0.10464799399999999</v>
      </c>
    </row>
    <row r="1288" spans="1:23" x14ac:dyDescent="0.25">
      <c r="A1288" s="3" t="str">
        <f>HYPERLINK("http://ids.si.edu/ids/deliveryService?id=NMAH-2007-13389","NMAH-2007-13389")</f>
        <v>NMAH-2007-13389</v>
      </c>
      <c r="B1288" s="3" t="s">
        <v>2937</v>
      </c>
      <c r="C1288" s="3">
        <v>843120</v>
      </c>
      <c r="D1288" s="3" t="s">
        <v>1716</v>
      </c>
      <c r="E1288" s="4" t="s">
        <v>2938</v>
      </c>
      <c r="F1288" t="s">
        <v>61</v>
      </c>
      <c r="G1288">
        <v>0.85248786211013794</v>
      </c>
      <c r="H1288" t="s">
        <v>112</v>
      </c>
      <c r="I1288">
        <v>0.78258353471755981</v>
      </c>
      <c r="J1288" t="s">
        <v>486</v>
      </c>
      <c r="K1288" s="4">
        <v>0.56377756595611572</v>
      </c>
      <c r="L1288" t="s">
        <v>405</v>
      </c>
      <c r="M1288">
        <v>0.25750613</v>
      </c>
      <c r="N1288" t="s">
        <v>65</v>
      </c>
      <c r="O1288">
        <v>6.9376960000000001E-2</v>
      </c>
      <c r="P1288" t="s">
        <v>426</v>
      </c>
      <c r="Q1288" s="4">
        <v>5.4671536999999999E-2</v>
      </c>
      <c r="R1288" t="s">
        <v>336</v>
      </c>
      <c r="S1288">
        <v>8.3363004000000004E-2</v>
      </c>
      <c r="T1288" t="s">
        <v>443</v>
      </c>
      <c r="U1288">
        <v>6.5902784000000006E-2</v>
      </c>
      <c r="V1288" t="s">
        <v>151</v>
      </c>
      <c r="W1288">
        <v>6.3845659999999999E-2</v>
      </c>
    </row>
    <row r="1289" spans="1:23" x14ac:dyDescent="0.25">
      <c r="A1289" s="3" t="str">
        <f>HYPERLINK("http://ids.si.edu/ids/deliveryService?id=NMAH-RWS2014-03255","NMAH-RWS2014-03255")</f>
        <v>NMAH-RWS2014-03255</v>
      </c>
      <c r="B1289" s="3" t="s">
        <v>2939</v>
      </c>
      <c r="C1289" s="3">
        <v>1072974</v>
      </c>
      <c r="D1289" s="3" t="s">
        <v>1716</v>
      </c>
      <c r="E1289" s="4" t="s">
        <v>2940</v>
      </c>
      <c r="F1289" t="s">
        <v>50</v>
      </c>
      <c r="G1289">
        <v>0.69359874725341797</v>
      </c>
      <c r="H1289" t="s">
        <v>1598</v>
      </c>
      <c r="I1289">
        <v>0.67359989881515503</v>
      </c>
      <c r="J1289" t="s">
        <v>49</v>
      </c>
      <c r="K1289" s="4">
        <v>0.60288959741592407</v>
      </c>
      <c r="L1289" t="s">
        <v>313</v>
      </c>
      <c r="M1289">
        <v>0.92380476</v>
      </c>
      <c r="N1289" t="s">
        <v>259</v>
      </c>
      <c r="O1289">
        <v>4.2396246999999998E-2</v>
      </c>
      <c r="P1289" t="s">
        <v>106</v>
      </c>
      <c r="Q1289" s="4">
        <v>1.0963508E-2</v>
      </c>
      <c r="R1289" t="s">
        <v>313</v>
      </c>
      <c r="S1289">
        <v>0.27107852999999998</v>
      </c>
      <c r="T1289" t="s">
        <v>259</v>
      </c>
      <c r="U1289">
        <v>0.16531032000000001</v>
      </c>
      <c r="V1289" t="s">
        <v>166</v>
      </c>
      <c r="W1289">
        <v>0.14015917</v>
      </c>
    </row>
    <row r="1290" spans="1:23" x14ac:dyDescent="0.25">
      <c r="A1290" s="3" t="str">
        <f>HYPERLINK("http://ids.si.edu/ids/deliveryService?id=NMAH-AHB2013q044407","NMAH-AHB2013q044407")</f>
        <v>NMAH-AHB2013q044407</v>
      </c>
      <c r="B1290" s="3" t="s">
        <v>2941</v>
      </c>
      <c r="C1290" s="3">
        <v>1437426</v>
      </c>
      <c r="D1290" s="3" t="s">
        <v>1716</v>
      </c>
      <c r="E1290" s="4" t="s">
        <v>1763</v>
      </c>
      <c r="F1290" t="s">
        <v>49</v>
      </c>
      <c r="G1290">
        <v>0.77625387907028198</v>
      </c>
      <c r="H1290" t="s">
        <v>301</v>
      </c>
      <c r="I1290">
        <v>0.67903727293014526</v>
      </c>
      <c r="J1290" t="s">
        <v>50</v>
      </c>
      <c r="K1290" s="4">
        <v>0.6591346263885498</v>
      </c>
      <c r="L1290" t="s">
        <v>336</v>
      </c>
      <c r="M1290">
        <v>0.56020360000000002</v>
      </c>
      <c r="N1290" t="s">
        <v>239</v>
      </c>
      <c r="O1290">
        <v>0.11079054000000001</v>
      </c>
      <c r="P1290" t="s">
        <v>369</v>
      </c>
      <c r="Q1290" s="4">
        <v>3.2892119999999997E-2</v>
      </c>
      <c r="R1290" t="s">
        <v>523</v>
      </c>
      <c r="S1290">
        <v>0.26989829999999998</v>
      </c>
      <c r="T1290" t="s">
        <v>369</v>
      </c>
      <c r="U1290">
        <v>0.15156723999999999</v>
      </c>
      <c r="V1290" t="s">
        <v>784</v>
      </c>
      <c r="W1290">
        <v>9.3630314000000006E-2</v>
      </c>
    </row>
    <row r="1291" spans="1:23" x14ac:dyDescent="0.25">
      <c r="A1291" s="3" t="str">
        <f>HYPERLINK("http://ids.si.edu/ids/deliveryService?id=NMAH-AHB2013q044021","NMAH-AHB2013q044021")</f>
        <v>NMAH-AHB2013q044021</v>
      </c>
      <c r="B1291" s="3" t="s">
        <v>2942</v>
      </c>
      <c r="C1291" s="3">
        <v>1438064</v>
      </c>
      <c r="D1291" s="3" t="s">
        <v>1716</v>
      </c>
      <c r="E1291" s="4" t="s">
        <v>1727</v>
      </c>
      <c r="F1291" t="s">
        <v>50</v>
      </c>
      <c r="G1291">
        <v>0.7871207594871521</v>
      </c>
      <c r="H1291" t="s">
        <v>112</v>
      </c>
      <c r="I1291">
        <v>0.74956268072128296</v>
      </c>
      <c r="J1291" t="s">
        <v>667</v>
      </c>
      <c r="K1291" s="4">
        <v>0.7015414834022522</v>
      </c>
      <c r="L1291" t="s">
        <v>445</v>
      </c>
      <c r="M1291">
        <v>0.13827099000000001</v>
      </c>
      <c r="N1291" t="s">
        <v>444</v>
      </c>
      <c r="O1291">
        <v>0.10082018</v>
      </c>
      <c r="P1291" t="s">
        <v>336</v>
      </c>
      <c r="Q1291" s="4">
        <v>8.8953299999999999E-2</v>
      </c>
      <c r="R1291" t="s">
        <v>159</v>
      </c>
      <c r="S1291">
        <v>0.18442753000000001</v>
      </c>
      <c r="T1291" t="s">
        <v>365</v>
      </c>
      <c r="U1291">
        <v>7.2931505999999993E-2</v>
      </c>
      <c r="V1291" t="s">
        <v>336</v>
      </c>
      <c r="W1291">
        <v>6.5336839999999993E-2</v>
      </c>
    </row>
    <row r="1292" spans="1:23" x14ac:dyDescent="0.25">
      <c r="A1292" s="3" t="str">
        <f>HYPERLINK("http://ids.si.edu/ids/deliveryService?id=NMAH-AHB2011q09846","NMAH-AHB2011q09846")</f>
        <v>NMAH-AHB2011q09846</v>
      </c>
      <c r="B1292" s="3" t="s">
        <v>2943</v>
      </c>
      <c r="C1292" s="3">
        <v>1108035</v>
      </c>
      <c r="D1292" s="3" t="s">
        <v>1716</v>
      </c>
      <c r="E1292" s="4" t="s">
        <v>2944</v>
      </c>
      <c r="L1292" t="s">
        <v>29</v>
      </c>
      <c r="M1292">
        <v>0.89842540000000004</v>
      </c>
      <c r="N1292" t="s">
        <v>65</v>
      </c>
      <c r="O1292">
        <v>3.1400619999999997E-2</v>
      </c>
      <c r="P1292" t="s">
        <v>77</v>
      </c>
      <c r="Q1292" s="4">
        <v>1.3695693E-2</v>
      </c>
      <c r="R1292" t="s">
        <v>29</v>
      </c>
      <c r="S1292">
        <v>0.99164646999999995</v>
      </c>
      <c r="T1292" t="s">
        <v>66</v>
      </c>
      <c r="U1292">
        <v>2.9324589000000001E-3</v>
      </c>
      <c r="V1292" t="s">
        <v>77</v>
      </c>
      <c r="W1292">
        <v>8.8886835000000003E-4</v>
      </c>
    </row>
    <row r="1293" spans="1:23" x14ac:dyDescent="0.25">
      <c r="A1293" s="3" t="str">
        <f>HYPERLINK("http://ids.si.edu/ids/deliveryService?id=NMAH-AHB2017q064983","NMAH-AHB2017q064983")</f>
        <v>NMAH-AHB2017q064983</v>
      </c>
      <c r="B1293" s="3" t="s">
        <v>2945</v>
      </c>
      <c r="C1293" s="3">
        <v>1292584</v>
      </c>
      <c r="D1293" s="3" t="s">
        <v>1716</v>
      </c>
      <c r="E1293" s="4" t="s">
        <v>2946</v>
      </c>
      <c r="F1293" t="s">
        <v>91</v>
      </c>
      <c r="G1293">
        <v>0.88283330202102661</v>
      </c>
      <c r="H1293" t="s">
        <v>441</v>
      </c>
      <c r="I1293">
        <v>0.80776911973953247</v>
      </c>
      <c r="J1293" t="s">
        <v>615</v>
      </c>
      <c r="K1293" s="4">
        <v>0.77079200744628906</v>
      </c>
      <c r="L1293" t="s">
        <v>390</v>
      </c>
      <c r="M1293">
        <v>0.16347958000000001</v>
      </c>
      <c r="N1293" t="s">
        <v>148</v>
      </c>
      <c r="O1293">
        <v>0.15024266</v>
      </c>
      <c r="P1293" t="s">
        <v>673</v>
      </c>
      <c r="Q1293" s="4">
        <v>6.9004990000000002E-2</v>
      </c>
      <c r="R1293" t="s">
        <v>390</v>
      </c>
      <c r="S1293">
        <v>0.39852442999999999</v>
      </c>
      <c r="T1293" t="s">
        <v>148</v>
      </c>
      <c r="U1293">
        <v>0.18597093000000001</v>
      </c>
      <c r="V1293" t="s">
        <v>330</v>
      </c>
      <c r="W1293">
        <v>9.5296779999999998E-2</v>
      </c>
    </row>
    <row r="1294" spans="1:23" x14ac:dyDescent="0.25">
      <c r="A1294" s="3" t="str">
        <f>HYPERLINK("http://ids.si.edu/ids/deliveryService?id=NMAH-AHB2013q043543","NMAH-AHB2013q043543")</f>
        <v>NMAH-AHB2013q043543</v>
      </c>
      <c r="B1294" s="3" t="s">
        <v>2947</v>
      </c>
      <c r="C1294" s="3">
        <v>1437490</v>
      </c>
      <c r="D1294" s="3" t="s">
        <v>1716</v>
      </c>
      <c r="E1294" s="4" t="s">
        <v>1727</v>
      </c>
      <c r="F1294" t="s">
        <v>49</v>
      </c>
      <c r="G1294">
        <v>0.86987817287445068</v>
      </c>
      <c r="H1294" t="s">
        <v>50</v>
      </c>
      <c r="I1294">
        <v>0.82034802436828613</v>
      </c>
      <c r="J1294" t="s">
        <v>112</v>
      </c>
      <c r="K1294" s="4">
        <v>0.68572378158569336</v>
      </c>
      <c r="L1294" t="s">
        <v>1679</v>
      </c>
      <c r="M1294">
        <v>0.11299979</v>
      </c>
      <c r="N1294" t="s">
        <v>1099</v>
      </c>
      <c r="O1294">
        <v>7.2545570000000004E-2</v>
      </c>
      <c r="P1294" t="s">
        <v>336</v>
      </c>
      <c r="Q1294" s="4">
        <v>7.0986300000000002E-2</v>
      </c>
      <c r="R1294" t="s">
        <v>277</v>
      </c>
      <c r="S1294">
        <v>0.17878208000000001</v>
      </c>
      <c r="T1294" t="s">
        <v>1679</v>
      </c>
      <c r="U1294">
        <v>0.16365196000000001</v>
      </c>
      <c r="V1294" t="s">
        <v>157</v>
      </c>
      <c r="W1294">
        <v>9.0495825000000002E-2</v>
      </c>
    </row>
    <row r="1295" spans="1:23" x14ac:dyDescent="0.25">
      <c r="A1295" s="3" t="str">
        <f>HYPERLINK("http://ids.si.edu/ids/deliveryService?id=NMAH-JN2014-4078","NMAH-JN2014-4078")</f>
        <v>NMAH-JN2014-4078</v>
      </c>
      <c r="B1295" s="3" t="s">
        <v>2948</v>
      </c>
      <c r="C1295" s="3">
        <v>872387</v>
      </c>
      <c r="D1295" s="3" t="s">
        <v>1716</v>
      </c>
      <c r="E1295" s="4" t="s">
        <v>2949</v>
      </c>
      <c r="F1295" t="s">
        <v>340</v>
      </c>
      <c r="G1295">
        <v>0.95992475748062134</v>
      </c>
      <c r="H1295" t="s">
        <v>297</v>
      </c>
      <c r="I1295">
        <v>0.84611248970031738</v>
      </c>
      <c r="J1295" t="s">
        <v>188</v>
      </c>
      <c r="K1295" s="4">
        <v>0.6508980393409729</v>
      </c>
      <c r="L1295" t="s">
        <v>226</v>
      </c>
      <c r="M1295">
        <v>0.45096629999999988</v>
      </c>
      <c r="N1295" t="s">
        <v>79</v>
      </c>
      <c r="O1295">
        <v>0.22020049999999999</v>
      </c>
      <c r="P1295" t="s">
        <v>358</v>
      </c>
      <c r="Q1295" s="4">
        <v>4.089197E-2</v>
      </c>
      <c r="R1295" t="s">
        <v>226</v>
      </c>
      <c r="S1295">
        <v>0.30636491999999999</v>
      </c>
      <c r="T1295" t="s">
        <v>336</v>
      </c>
      <c r="U1295">
        <v>0.19818981999999999</v>
      </c>
      <c r="V1295" t="s">
        <v>358</v>
      </c>
      <c r="W1295">
        <v>4.0478155000000002E-2</v>
      </c>
    </row>
    <row r="1296" spans="1:23" x14ac:dyDescent="0.25">
      <c r="A1296" s="3" t="str">
        <f>HYPERLINK("http://ids.si.edu/ids/deliveryService?id=NMAH-AHB2013q043805","NMAH-AHB2013q043805")</f>
        <v>NMAH-AHB2013q043805</v>
      </c>
      <c r="B1296" s="3" t="s">
        <v>2950</v>
      </c>
      <c r="C1296" s="3">
        <v>1437523</v>
      </c>
      <c r="D1296" s="3" t="s">
        <v>1716</v>
      </c>
      <c r="E1296" s="4" t="s">
        <v>1727</v>
      </c>
      <c r="F1296" t="s">
        <v>196</v>
      </c>
      <c r="G1296">
        <v>0.84618407487869263</v>
      </c>
      <c r="H1296" t="s">
        <v>49</v>
      </c>
      <c r="I1296">
        <v>0.64354312419891357</v>
      </c>
      <c r="J1296" t="s">
        <v>1784</v>
      </c>
      <c r="K1296" s="4">
        <v>0.60457366704940796</v>
      </c>
      <c r="L1296" t="s">
        <v>336</v>
      </c>
      <c r="M1296">
        <v>0.32239002</v>
      </c>
      <c r="N1296" t="s">
        <v>813</v>
      </c>
      <c r="O1296">
        <v>0.18584767999999999</v>
      </c>
      <c r="P1296" t="s">
        <v>273</v>
      </c>
      <c r="Q1296" s="4">
        <v>0.171852</v>
      </c>
      <c r="R1296" t="s">
        <v>706</v>
      </c>
      <c r="S1296">
        <v>0.15154165</v>
      </c>
      <c r="T1296" t="s">
        <v>369</v>
      </c>
      <c r="U1296">
        <v>0.10285563</v>
      </c>
      <c r="V1296" t="s">
        <v>175</v>
      </c>
      <c r="W1296">
        <v>9.2847780000000005E-2</v>
      </c>
    </row>
    <row r="1297" spans="1:23" x14ac:dyDescent="0.25">
      <c r="A1297" s="3" t="str">
        <f>HYPERLINK("http://ids.si.edu/ids/deliveryService?id=NMAH-2009-5617","NMAH-2009-5617")</f>
        <v>NMAH-2009-5617</v>
      </c>
      <c r="B1297" s="3" t="s">
        <v>2951</v>
      </c>
      <c r="C1297" s="3">
        <v>1330210</v>
      </c>
      <c r="D1297" s="3" t="s">
        <v>1716</v>
      </c>
      <c r="E1297" s="4" t="s">
        <v>1106</v>
      </c>
      <c r="F1297" t="s">
        <v>132</v>
      </c>
      <c r="G1297">
        <v>0.83633017539978027</v>
      </c>
      <c r="H1297" t="s">
        <v>38</v>
      </c>
      <c r="I1297">
        <v>0.68831193447113037</v>
      </c>
      <c r="J1297" t="s">
        <v>206</v>
      </c>
      <c r="K1297" s="4">
        <v>0.54842841625213623</v>
      </c>
      <c r="L1297" t="s">
        <v>334</v>
      </c>
      <c r="M1297">
        <v>0.72041659999999996</v>
      </c>
      <c r="N1297" t="s">
        <v>226</v>
      </c>
      <c r="O1297">
        <v>5.795993E-2</v>
      </c>
      <c r="P1297" t="s">
        <v>152</v>
      </c>
      <c r="Q1297" s="4">
        <v>3.7279050000000001E-2</v>
      </c>
      <c r="R1297" t="s">
        <v>151</v>
      </c>
      <c r="S1297">
        <v>0.19829421</v>
      </c>
      <c r="T1297" t="s">
        <v>95</v>
      </c>
      <c r="U1297">
        <v>0.17104842000000001</v>
      </c>
      <c r="V1297" t="s">
        <v>685</v>
      </c>
      <c r="W1297">
        <v>6.029238E-2</v>
      </c>
    </row>
    <row r="1298" spans="1:23" x14ac:dyDescent="0.25">
      <c r="A1298" s="3" t="str">
        <f>HYPERLINK("http://ids.si.edu/ids/deliveryService?id=NMAH-JN2014-5513","NMAH-JN2014-5513")</f>
        <v>NMAH-JN2014-5513</v>
      </c>
      <c r="B1298" s="3" t="s">
        <v>2952</v>
      </c>
      <c r="C1298" s="3">
        <v>1462897</v>
      </c>
      <c r="D1298" s="3" t="s">
        <v>1716</v>
      </c>
      <c r="E1298" s="4" t="s">
        <v>2953</v>
      </c>
      <c r="F1298" t="s">
        <v>292</v>
      </c>
      <c r="G1298">
        <v>0.94057369232177734</v>
      </c>
      <c r="H1298" t="s">
        <v>61</v>
      </c>
      <c r="I1298">
        <v>0.90306717157363892</v>
      </c>
      <c r="J1298" t="s">
        <v>112</v>
      </c>
      <c r="K1298" s="4">
        <v>0.80401664972305298</v>
      </c>
      <c r="L1298" t="s">
        <v>405</v>
      </c>
      <c r="M1298">
        <v>0.38035774</v>
      </c>
      <c r="N1298" t="s">
        <v>183</v>
      </c>
      <c r="O1298">
        <v>0.11770276</v>
      </c>
      <c r="P1298" t="s">
        <v>209</v>
      </c>
      <c r="Q1298" s="4">
        <v>8.7885580000000005E-2</v>
      </c>
      <c r="R1298" t="s">
        <v>405</v>
      </c>
      <c r="S1298">
        <v>0.76400559999999995</v>
      </c>
      <c r="T1298" t="s">
        <v>1052</v>
      </c>
      <c r="U1298">
        <v>3.9198097000000001E-2</v>
      </c>
      <c r="V1298" t="s">
        <v>501</v>
      </c>
      <c r="W1298">
        <v>1.1702374E-2</v>
      </c>
    </row>
    <row r="1299" spans="1:23" x14ac:dyDescent="0.25">
      <c r="A1299" s="3" t="str">
        <f>HYPERLINK("http://ids.si.edu/ids/deliveryService?id=NMAH-99-36713-000002","NMAH-99-36713-000002")</f>
        <v>NMAH-99-36713-000002</v>
      </c>
      <c r="B1299" s="3" t="s">
        <v>2954</v>
      </c>
      <c r="C1299" s="3">
        <v>851776</v>
      </c>
      <c r="D1299" s="3" t="s">
        <v>1716</v>
      </c>
      <c r="E1299" s="4" t="s">
        <v>2955</v>
      </c>
      <c r="F1299" t="s">
        <v>1372</v>
      </c>
      <c r="G1299">
        <v>0.99210822582244873</v>
      </c>
      <c r="H1299" t="s">
        <v>2721</v>
      </c>
      <c r="I1299">
        <v>0.98796272277832031</v>
      </c>
      <c r="J1299" t="s">
        <v>2722</v>
      </c>
      <c r="K1299" s="4">
        <v>0.95285546779632568</v>
      </c>
      <c r="L1299" t="s">
        <v>183</v>
      </c>
      <c r="M1299">
        <v>0.48002573999999998</v>
      </c>
      <c r="N1299" t="s">
        <v>31</v>
      </c>
      <c r="O1299">
        <v>0.38076365000000001</v>
      </c>
      <c r="P1299" t="s">
        <v>1184</v>
      </c>
      <c r="Q1299" s="4">
        <v>5.3435522999999999E-2</v>
      </c>
      <c r="R1299" t="s">
        <v>261</v>
      </c>
      <c r="S1299">
        <v>0.33613900000000002</v>
      </c>
      <c r="T1299" t="s">
        <v>31</v>
      </c>
      <c r="U1299">
        <v>0.19589150999999999</v>
      </c>
      <c r="V1299" t="s">
        <v>183</v>
      </c>
      <c r="W1299">
        <v>0.11878283000000001</v>
      </c>
    </row>
    <row r="1300" spans="1:23" x14ac:dyDescent="0.25">
      <c r="A1300" s="3" t="str">
        <f>HYPERLINK("http://ids.si.edu/ids/deliveryService?id=NMAH-NMAH2002-27377","NMAH-NMAH2002-27377")</f>
        <v>NMAH-NMAH2002-27377</v>
      </c>
      <c r="B1300" s="3" t="s">
        <v>2956</v>
      </c>
      <c r="C1300" s="3">
        <v>706644</v>
      </c>
      <c r="D1300" s="3" t="s">
        <v>1716</v>
      </c>
      <c r="E1300" s="4" t="s">
        <v>1801</v>
      </c>
      <c r="F1300" t="s">
        <v>50</v>
      </c>
      <c r="G1300">
        <v>0.6591346263885498</v>
      </c>
      <c r="H1300" t="s">
        <v>636</v>
      </c>
      <c r="I1300">
        <v>0.5421409010887146</v>
      </c>
      <c r="J1300" t="s">
        <v>62</v>
      </c>
      <c r="K1300" s="4">
        <v>0.50218719244003296</v>
      </c>
      <c r="L1300" t="s">
        <v>313</v>
      </c>
      <c r="M1300">
        <v>9.2790090000000006E-2</v>
      </c>
      <c r="N1300" t="s">
        <v>150</v>
      </c>
      <c r="O1300">
        <v>8.803514400000001E-2</v>
      </c>
      <c r="P1300" t="s">
        <v>784</v>
      </c>
      <c r="Q1300" s="4">
        <v>7.5656539999999994E-2</v>
      </c>
      <c r="R1300" t="s">
        <v>175</v>
      </c>
      <c r="S1300">
        <v>0.18802251</v>
      </c>
      <c r="T1300" t="s">
        <v>668</v>
      </c>
      <c r="U1300">
        <v>8.4551244999999997E-2</v>
      </c>
      <c r="V1300" t="s">
        <v>390</v>
      </c>
      <c r="W1300">
        <v>8.2819219999999999E-2</v>
      </c>
    </row>
    <row r="1301" spans="1:23" x14ac:dyDescent="0.25">
      <c r="A1301" s="3" t="str">
        <f>HYPERLINK("http://ids.si.edu/ids/deliveryService?id=NMAH-AHB2009q18106-000001","NMAH-AHB2009q18106-000001")</f>
        <v>NMAH-AHB2009q18106-000001</v>
      </c>
      <c r="B1301" s="3" t="s">
        <v>2957</v>
      </c>
      <c r="C1301" s="3">
        <v>708621</v>
      </c>
      <c r="D1301" s="3" t="s">
        <v>1716</v>
      </c>
      <c r="E1301" s="4" t="s">
        <v>2958</v>
      </c>
      <c r="F1301" t="s">
        <v>441</v>
      </c>
      <c r="G1301">
        <v>0.6757805347442627</v>
      </c>
      <c r="H1301" t="s">
        <v>615</v>
      </c>
      <c r="I1301">
        <v>0.60989159345626831</v>
      </c>
      <c r="J1301" t="s">
        <v>596</v>
      </c>
      <c r="K1301" s="4">
        <v>0.60249847173690796</v>
      </c>
      <c r="L1301" t="s">
        <v>93</v>
      </c>
      <c r="M1301">
        <v>0.65273714000000005</v>
      </c>
      <c r="N1301" t="s">
        <v>1406</v>
      </c>
      <c r="O1301">
        <v>0.25540425999999999</v>
      </c>
      <c r="P1301" t="s">
        <v>2084</v>
      </c>
      <c r="Q1301" s="4">
        <v>5.0982013E-2</v>
      </c>
      <c r="R1301" t="s">
        <v>93</v>
      </c>
      <c r="S1301">
        <v>0.32019019999999998</v>
      </c>
      <c r="T1301" t="s">
        <v>1406</v>
      </c>
      <c r="U1301">
        <v>0.21012486999999999</v>
      </c>
      <c r="V1301" t="s">
        <v>1099</v>
      </c>
      <c r="W1301">
        <v>8.9810899999999999E-2</v>
      </c>
    </row>
    <row r="1302" spans="1:23" x14ac:dyDescent="0.25">
      <c r="A1302" s="3" t="str">
        <f>HYPERLINK("http://ids.si.edu/ids/deliveryService?id=NMAH-ET2014-40413","NMAH-ET2014-40413")</f>
        <v>NMAH-ET2014-40413</v>
      </c>
      <c r="B1302" s="3" t="s">
        <v>2959</v>
      </c>
      <c r="C1302" s="3">
        <v>1421697</v>
      </c>
      <c r="D1302" s="3" t="s">
        <v>1716</v>
      </c>
      <c r="E1302" s="4" t="s">
        <v>1384</v>
      </c>
      <c r="F1302" t="s">
        <v>61</v>
      </c>
      <c r="G1302">
        <v>0.93249768018722534</v>
      </c>
      <c r="H1302" t="s">
        <v>112</v>
      </c>
      <c r="I1302">
        <v>0.9157567024230957</v>
      </c>
      <c r="J1302" t="s">
        <v>196</v>
      </c>
      <c r="K1302" s="4">
        <v>0.88906067609786987</v>
      </c>
      <c r="L1302" t="s">
        <v>253</v>
      </c>
      <c r="M1302">
        <v>0.50972055999999999</v>
      </c>
      <c r="N1302" t="s">
        <v>29</v>
      </c>
      <c r="O1302">
        <v>6.4401570000000005E-2</v>
      </c>
      <c r="P1302" t="s">
        <v>689</v>
      </c>
      <c r="Q1302" s="4">
        <v>2.5268479999999999E-2</v>
      </c>
      <c r="R1302" t="s">
        <v>29</v>
      </c>
      <c r="S1302">
        <v>0.12887119</v>
      </c>
      <c r="T1302" t="s">
        <v>66</v>
      </c>
      <c r="U1302">
        <v>0.10772361599999999</v>
      </c>
      <c r="V1302" t="s">
        <v>253</v>
      </c>
      <c r="W1302">
        <v>0.10085937</v>
      </c>
    </row>
    <row r="1303" spans="1:23" x14ac:dyDescent="0.25">
      <c r="A1303" s="3" t="str">
        <f>HYPERLINK("http://ids.si.edu/ids/deliveryService?id=NMAH-JN2014-3883","NMAH-JN2014-3883")</f>
        <v>NMAH-JN2014-3883</v>
      </c>
      <c r="B1303" s="3" t="s">
        <v>2960</v>
      </c>
      <c r="C1303" s="3">
        <v>1191491</v>
      </c>
      <c r="D1303" s="3" t="s">
        <v>1716</v>
      </c>
      <c r="E1303" s="4" t="s">
        <v>2961</v>
      </c>
      <c r="F1303" t="s">
        <v>91</v>
      </c>
      <c r="G1303">
        <v>0.96057718992233276</v>
      </c>
      <c r="H1303" t="s">
        <v>615</v>
      </c>
      <c r="I1303">
        <v>0.91525226831436157</v>
      </c>
      <c r="J1303" t="s">
        <v>441</v>
      </c>
      <c r="K1303" s="4">
        <v>0.90379256010055542</v>
      </c>
      <c r="L1303" t="s">
        <v>465</v>
      </c>
      <c r="M1303">
        <v>0.90733206</v>
      </c>
      <c r="N1303" t="s">
        <v>2903</v>
      </c>
      <c r="O1303">
        <v>3.3028017999999999E-2</v>
      </c>
      <c r="P1303" t="s">
        <v>599</v>
      </c>
      <c r="Q1303" s="4">
        <v>2.7060045000000001E-2</v>
      </c>
      <c r="R1303" t="s">
        <v>465</v>
      </c>
      <c r="S1303">
        <v>0.74733419999999995</v>
      </c>
      <c r="T1303" t="s">
        <v>599</v>
      </c>
      <c r="U1303">
        <v>0.12382529</v>
      </c>
      <c r="V1303" t="s">
        <v>2903</v>
      </c>
      <c r="W1303">
        <v>4.1436623999999998E-2</v>
      </c>
    </row>
    <row r="1304" spans="1:23" x14ac:dyDescent="0.25">
      <c r="A1304" s="3" t="str">
        <f>HYPERLINK("http://ids.si.edu/ids/deliveryService?id=NMAH-RWS2015-06149","NMAH-RWS2015-06149")</f>
        <v>NMAH-RWS2015-06149</v>
      </c>
      <c r="B1304" s="3" t="s">
        <v>2962</v>
      </c>
      <c r="C1304" s="3">
        <v>856920</v>
      </c>
      <c r="D1304" s="3" t="s">
        <v>1716</v>
      </c>
      <c r="E1304" s="4" t="s">
        <v>2963</v>
      </c>
      <c r="F1304" t="s">
        <v>112</v>
      </c>
      <c r="G1304">
        <v>0.93166458606719971</v>
      </c>
      <c r="H1304" t="s">
        <v>61</v>
      </c>
      <c r="I1304">
        <v>0.89013081789016724</v>
      </c>
      <c r="J1304" t="s">
        <v>126</v>
      </c>
      <c r="K1304" s="4">
        <v>0.70878320932388306</v>
      </c>
      <c r="L1304" t="s">
        <v>426</v>
      </c>
      <c r="M1304">
        <v>0.55679285999999995</v>
      </c>
      <c r="N1304" t="s">
        <v>65</v>
      </c>
      <c r="O1304">
        <v>0.20505017</v>
      </c>
      <c r="P1304" t="s">
        <v>45</v>
      </c>
      <c r="Q1304" s="4">
        <v>6.8779430000000003E-2</v>
      </c>
      <c r="R1304" t="s">
        <v>426</v>
      </c>
      <c r="S1304">
        <v>0.30532939999999997</v>
      </c>
      <c r="T1304" t="s">
        <v>65</v>
      </c>
      <c r="U1304">
        <v>0.17630155</v>
      </c>
      <c r="V1304" t="s">
        <v>209</v>
      </c>
      <c r="W1304">
        <v>7.8852950000000005E-2</v>
      </c>
    </row>
    <row r="1305" spans="1:23" x14ac:dyDescent="0.25">
      <c r="A1305" s="3" t="str">
        <f>HYPERLINK("http://ids.si.edu/ids/deliveryService?id=NMAH-AHB2013q043563","NMAH-AHB2013q043563")</f>
        <v>NMAH-AHB2013q043563</v>
      </c>
      <c r="B1305" s="3" t="s">
        <v>2964</v>
      </c>
      <c r="C1305" s="3">
        <v>1437147</v>
      </c>
      <c r="D1305" s="3" t="s">
        <v>1716</v>
      </c>
      <c r="E1305" s="4" t="s">
        <v>1727</v>
      </c>
      <c r="F1305" t="s">
        <v>49</v>
      </c>
      <c r="G1305">
        <v>0.91047298908233643</v>
      </c>
      <c r="H1305" t="s">
        <v>1757</v>
      </c>
      <c r="I1305">
        <v>0.87823754549026489</v>
      </c>
      <c r="J1305" t="s">
        <v>50</v>
      </c>
      <c r="K1305" s="4">
        <v>0.85560613870620728</v>
      </c>
      <c r="L1305" t="s">
        <v>336</v>
      </c>
      <c r="M1305">
        <v>0.55232999999999999</v>
      </c>
      <c r="N1305" t="s">
        <v>149</v>
      </c>
      <c r="O1305">
        <v>6.5507634999999995E-2</v>
      </c>
      <c r="P1305" t="s">
        <v>668</v>
      </c>
      <c r="Q1305" s="4">
        <v>5.1963232000000012E-2</v>
      </c>
      <c r="R1305" t="s">
        <v>336</v>
      </c>
      <c r="S1305">
        <v>0.30189177</v>
      </c>
      <c r="T1305" t="s">
        <v>175</v>
      </c>
      <c r="U1305">
        <v>0.11889139999999999</v>
      </c>
      <c r="V1305" t="s">
        <v>149</v>
      </c>
      <c r="W1305">
        <v>6.6147860000000003E-2</v>
      </c>
    </row>
    <row r="1306" spans="1:23" x14ac:dyDescent="0.25">
      <c r="A1306" s="3" t="str">
        <f>HYPERLINK("http://ids.si.edu/ids/deliveryService?id=NMAH-NMAH2002-33713","NMAH-NMAH2002-33713")</f>
        <v>NMAH-NMAH2002-33713</v>
      </c>
      <c r="B1306" s="3" t="s">
        <v>2965</v>
      </c>
      <c r="C1306" s="3">
        <v>751111</v>
      </c>
      <c r="D1306" s="3" t="s">
        <v>1716</v>
      </c>
      <c r="E1306" s="4" t="s">
        <v>2886</v>
      </c>
      <c r="F1306" t="s">
        <v>747</v>
      </c>
      <c r="G1306">
        <v>0.83258247375488281</v>
      </c>
      <c r="H1306" t="s">
        <v>1774</v>
      </c>
      <c r="I1306">
        <v>0.78461205959320068</v>
      </c>
      <c r="J1306" t="s">
        <v>230</v>
      </c>
      <c r="K1306" s="4">
        <v>0.65612274408340454</v>
      </c>
      <c r="L1306" t="s">
        <v>95</v>
      </c>
      <c r="M1306">
        <v>0.6525512</v>
      </c>
      <c r="N1306" t="s">
        <v>185</v>
      </c>
      <c r="O1306">
        <v>0.22489366999999999</v>
      </c>
      <c r="P1306" t="s">
        <v>151</v>
      </c>
      <c r="Q1306" s="4">
        <v>3.0630678000000001E-2</v>
      </c>
      <c r="R1306" t="s">
        <v>63</v>
      </c>
      <c r="S1306">
        <v>0.10167624</v>
      </c>
      <c r="T1306" t="s">
        <v>370</v>
      </c>
      <c r="U1306">
        <v>8.1976295000000005E-2</v>
      </c>
      <c r="V1306" t="s">
        <v>495</v>
      </c>
      <c r="W1306">
        <v>6.4369679999999999E-2</v>
      </c>
    </row>
    <row r="1307" spans="1:23" x14ac:dyDescent="0.25">
      <c r="A1307" s="3" t="str">
        <f>HYPERLINK("http://ids.si.edu/ids/deliveryService?id=NMAH-AHB2013q044995","NMAH-AHB2013q044995")</f>
        <v>NMAH-AHB2013q044995</v>
      </c>
      <c r="B1307" s="3" t="s">
        <v>2966</v>
      </c>
      <c r="C1307" s="3">
        <v>1438384</v>
      </c>
      <c r="D1307" s="3" t="s">
        <v>1716</v>
      </c>
      <c r="E1307" s="4" t="s">
        <v>1761</v>
      </c>
      <c r="F1307" t="s">
        <v>112</v>
      </c>
      <c r="G1307">
        <v>0.78258353471755981</v>
      </c>
      <c r="H1307" t="s">
        <v>2967</v>
      </c>
      <c r="I1307">
        <v>0.75445026159286499</v>
      </c>
      <c r="J1307" t="s">
        <v>188</v>
      </c>
      <c r="K1307" s="4">
        <v>0.59940940141677856</v>
      </c>
      <c r="L1307" t="s">
        <v>79</v>
      </c>
      <c r="M1307">
        <v>9.2954090000000003E-2</v>
      </c>
      <c r="N1307" t="s">
        <v>1093</v>
      </c>
      <c r="O1307">
        <v>7.7135324000000005E-2</v>
      </c>
      <c r="P1307" t="s">
        <v>627</v>
      </c>
      <c r="Q1307" s="4">
        <v>3.5683936999999999E-2</v>
      </c>
      <c r="R1307" t="s">
        <v>44</v>
      </c>
      <c r="S1307">
        <v>5.7157483000000002E-2</v>
      </c>
      <c r="T1307" t="s">
        <v>71</v>
      </c>
      <c r="U1307">
        <v>4.3467489999999998E-2</v>
      </c>
      <c r="V1307" t="s">
        <v>66</v>
      </c>
      <c r="W1307">
        <v>3.7979766999999998E-2</v>
      </c>
    </row>
    <row r="1308" spans="1:23" x14ac:dyDescent="0.25">
      <c r="A1308" s="3" t="str">
        <f>HYPERLINK("http://ids.si.edu/ids/deliveryService?id=NMAH-AHB2013q043511","NMAH-AHB2013q043511")</f>
        <v>NMAH-AHB2013q043511</v>
      </c>
      <c r="B1308" s="3" t="s">
        <v>2968</v>
      </c>
      <c r="C1308" s="3">
        <v>1437479</v>
      </c>
      <c r="D1308" s="3" t="s">
        <v>1716</v>
      </c>
      <c r="E1308" s="4" t="s">
        <v>1727</v>
      </c>
      <c r="F1308" t="s">
        <v>91</v>
      </c>
      <c r="G1308">
        <v>0.88283330202102661</v>
      </c>
      <c r="H1308" t="s">
        <v>196</v>
      </c>
      <c r="I1308">
        <v>0.70555394887924194</v>
      </c>
      <c r="J1308" t="s">
        <v>112</v>
      </c>
      <c r="K1308" s="4">
        <v>0.68572378158569336</v>
      </c>
      <c r="L1308" t="s">
        <v>149</v>
      </c>
      <c r="M1308">
        <v>0.31040525000000002</v>
      </c>
      <c r="N1308" t="s">
        <v>782</v>
      </c>
      <c r="O1308">
        <v>5.122881E-2</v>
      </c>
      <c r="P1308" t="s">
        <v>1099</v>
      </c>
      <c r="Q1308" s="4">
        <v>4.7724962000000003E-2</v>
      </c>
      <c r="R1308" t="s">
        <v>149</v>
      </c>
      <c r="S1308">
        <v>0.92696540000000005</v>
      </c>
      <c r="T1308" t="s">
        <v>444</v>
      </c>
      <c r="U1308">
        <v>8.109723000000001E-3</v>
      </c>
      <c r="V1308" t="s">
        <v>765</v>
      </c>
      <c r="W1308">
        <v>3.8237085000000001E-3</v>
      </c>
    </row>
    <row r="1309" spans="1:23" x14ac:dyDescent="0.25">
      <c r="A1309" s="3" t="str">
        <f>HYPERLINK("http://ids.si.edu/ids/deliveryService?id=NMAH-ET2013-40192","NMAH-ET2013-40192")</f>
        <v>NMAH-ET2013-40192</v>
      </c>
      <c r="B1309" s="3" t="s">
        <v>2969</v>
      </c>
      <c r="C1309" s="3">
        <v>1403809</v>
      </c>
      <c r="D1309" s="3" t="s">
        <v>1716</v>
      </c>
      <c r="E1309" s="4" t="s">
        <v>2970</v>
      </c>
      <c r="F1309" t="s">
        <v>49</v>
      </c>
      <c r="G1309">
        <v>0.85858619213104248</v>
      </c>
      <c r="H1309" t="s">
        <v>50</v>
      </c>
      <c r="I1309">
        <v>0.7537727952003479</v>
      </c>
      <c r="L1309" t="s">
        <v>572</v>
      </c>
      <c r="M1309">
        <v>0.29427125999999998</v>
      </c>
      <c r="N1309" t="s">
        <v>305</v>
      </c>
      <c r="O1309">
        <v>6.5981020000000001E-2</v>
      </c>
      <c r="P1309" t="s">
        <v>261</v>
      </c>
      <c r="Q1309" s="4">
        <v>5.7583187000000001E-2</v>
      </c>
      <c r="R1309" t="s">
        <v>261</v>
      </c>
      <c r="S1309">
        <v>0.12586230000000001</v>
      </c>
      <c r="T1309" t="s">
        <v>121</v>
      </c>
      <c r="U1309">
        <v>0.117922954</v>
      </c>
      <c r="V1309" t="s">
        <v>523</v>
      </c>
      <c r="W1309">
        <v>9.265806E-2</v>
      </c>
    </row>
    <row r="1310" spans="1:23" x14ac:dyDescent="0.25">
      <c r="A1310" s="3" t="str">
        <f>HYPERLINK("http://ids.si.edu/ids/deliveryService?id=NMAH-ET2014-41290","NMAH-ET2014-41290")</f>
        <v>NMAH-ET2014-41290</v>
      </c>
      <c r="B1310" s="3" t="s">
        <v>2971</v>
      </c>
      <c r="C1310" s="3">
        <v>1381188</v>
      </c>
      <c r="D1310" s="3" t="s">
        <v>1716</v>
      </c>
      <c r="E1310" s="4" t="s">
        <v>2972</v>
      </c>
      <c r="F1310" t="s">
        <v>2973</v>
      </c>
      <c r="G1310">
        <v>0.86458283662796021</v>
      </c>
      <c r="H1310" t="s">
        <v>2974</v>
      </c>
      <c r="I1310">
        <v>0.83475297689437866</v>
      </c>
      <c r="J1310" t="s">
        <v>2975</v>
      </c>
      <c r="K1310" s="4">
        <v>0.78098523616790771</v>
      </c>
      <c r="L1310" t="s">
        <v>2976</v>
      </c>
      <c r="M1310">
        <v>0.1611127</v>
      </c>
      <c r="N1310" t="s">
        <v>1454</v>
      </c>
      <c r="O1310">
        <v>6.6905350000000002E-2</v>
      </c>
      <c r="P1310" t="s">
        <v>888</v>
      </c>
      <c r="Q1310" s="4">
        <v>3.3427144999999998E-2</v>
      </c>
      <c r="R1310" t="s">
        <v>35</v>
      </c>
      <c r="S1310">
        <v>9.6899769999999996E-2</v>
      </c>
      <c r="T1310" t="s">
        <v>2976</v>
      </c>
      <c r="U1310">
        <v>5.4024372000000001E-2</v>
      </c>
      <c r="V1310" t="s">
        <v>159</v>
      </c>
      <c r="W1310">
        <v>5.0261420000000001E-2</v>
      </c>
    </row>
    <row r="1311" spans="1:23" x14ac:dyDescent="0.25">
      <c r="A1311" s="3" t="str">
        <f>HYPERLINK("http://ids.si.edu/ids/deliveryService?id=NMAH-AHB2013q044738","NMAH-AHB2013q044738")</f>
        <v>NMAH-AHB2013q044738</v>
      </c>
      <c r="B1311" s="3" t="s">
        <v>2977</v>
      </c>
      <c r="C1311" s="3">
        <v>1437809</v>
      </c>
      <c r="D1311" s="3" t="s">
        <v>1716</v>
      </c>
      <c r="E1311" s="4" t="s">
        <v>1761</v>
      </c>
      <c r="F1311" t="s">
        <v>38</v>
      </c>
      <c r="G1311">
        <v>0.81764549016952515</v>
      </c>
      <c r="H1311" t="s">
        <v>1757</v>
      </c>
      <c r="I1311">
        <v>0.78352880477905273</v>
      </c>
      <c r="J1311" t="s">
        <v>112</v>
      </c>
      <c r="K1311" s="4">
        <v>0.78258353471755981</v>
      </c>
      <c r="L1311" t="s">
        <v>336</v>
      </c>
      <c r="M1311">
        <v>0.55167010000000005</v>
      </c>
      <c r="N1311" t="s">
        <v>149</v>
      </c>
      <c r="O1311">
        <v>0.21544331</v>
      </c>
      <c r="P1311" t="s">
        <v>226</v>
      </c>
      <c r="Q1311" s="4">
        <v>1.21385995E-2</v>
      </c>
      <c r="R1311" t="s">
        <v>336</v>
      </c>
      <c r="S1311">
        <v>0.67798780000000003</v>
      </c>
      <c r="T1311" t="s">
        <v>365</v>
      </c>
      <c r="U1311">
        <v>0.16434571000000001</v>
      </c>
      <c r="V1311" t="s">
        <v>443</v>
      </c>
      <c r="W1311">
        <v>2.0960012E-2</v>
      </c>
    </row>
    <row r="1312" spans="1:23" x14ac:dyDescent="0.25">
      <c r="A1312" s="3" t="str">
        <f>HYPERLINK("http://ids.si.edu/ids/deliveryService?id=NMAH-NMAH2001-09452","NMAH-NMAH2001-09452")</f>
        <v>NMAH-NMAH2001-09452</v>
      </c>
      <c r="B1312" s="3" t="s">
        <v>2978</v>
      </c>
      <c r="C1312" s="3">
        <v>706172</v>
      </c>
      <c r="D1312" s="3" t="s">
        <v>1716</v>
      </c>
      <c r="E1312" s="4" t="s">
        <v>2979</v>
      </c>
      <c r="F1312" t="s">
        <v>91</v>
      </c>
      <c r="G1312">
        <v>0.91031128168106079</v>
      </c>
      <c r="H1312" t="s">
        <v>441</v>
      </c>
      <c r="I1312">
        <v>0.6757805347442627</v>
      </c>
      <c r="J1312" t="s">
        <v>636</v>
      </c>
      <c r="K1312" s="4">
        <v>0.63077306747436523</v>
      </c>
      <c r="L1312" t="s">
        <v>1406</v>
      </c>
      <c r="M1312">
        <v>0.42648506000000003</v>
      </c>
      <c r="N1312" t="s">
        <v>597</v>
      </c>
      <c r="O1312">
        <v>7.4442800000000003E-2</v>
      </c>
      <c r="P1312" t="s">
        <v>2084</v>
      </c>
      <c r="Q1312" s="4">
        <v>6.5205059999999995E-2</v>
      </c>
      <c r="R1312" t="s">
        <v>33</v>
      </c>
      <c r="S1312">
        <v>0.25885787999999998</v>
      </c>
      <c r="T1312" t="s">
        <v>32</v>
      </c>
      <c r="U1312">
        <v>0.13827178000000001</v>
      </c>
      <c r="V1312" t="s">
        <v>597</v>
      </c>
      <c r="W1312">
        <v>0.1095674</v>
      </c>
    </row>
    <row r="1313" spans="1:23" x14ac:dyDescent="0.25">
      <c r="A1313" s="3" t="str">
        <f>HYPERLINK("http://ids.si.edu/ids/deliveryService?id=NMAH-AHB2017q066030","NMAH-AHB2017q066030")</f>
        <v>NMAH-AHB2017q066030</v>
      </c>
      <c r="B1313" s="3" t="s">
        <v>2980</v>
      </c>
      <c r="C1313" s="3">
        <v>1826062</v>
      </c>
      <c r="D1313" s="3" t="s">
        <v>1716</v>
      </c>
      <c r="E1313" s="4" t="s">
        <v>2981</v>
      </c>
      <c r="F1313" t="s">
        <v>91</v>
      </c>
      <c r="G1313">
        <v>0.91031128168106079</v>
      </c>
      <c r="H1313" t="s">
        <v>49</v>
      </c>
      <c r="I1313">
        <v>0.8063846230506897</v>
      </c>
      <c r="J1313" t="s">
        <v>38</v>
      </c>
      <c r="K1313" s="4">
        <v>0.73405641317367554</v>
      </c>
      <c r="L1313" t="s">
        <v>149</v>
      </c>
      <c r="M1313">
        <v>0.42622945000000001</v>
      </c>
      <c r="N1313" t="s">
        <v>93</v>
      </c>
      <c r="O1313">
        <v>0.36458415</v>
      </c>
      <c r="P1313" t="s">
        <v>1454</v>
      </c>
      <c r="Q1313" s="4">
        <v>2.2327778999999999E-2</v>
      </c>
      <c r="R1313" t="s">
        <v>685</v>
      </c>
      <c r="S1313">
        <v>0.20747946</v>
      </c>
      <c r="T1313" t="s">
        <v>93</v>
      </c>
      <c r="U1313">
        <v>0.15721694</v>
      </c>
      <c r="V1313" t="s">
        <v>151</v>
      </c>
      <c r="W1313">
        <v>0.11361837</v>
      </c>
    </row>
    <row r="1314" spans="1:23" x14ac:dyDescent="0.25">
      <c r="A1314" s="3" t="str">
        <f>HYPERLINK("http://ids.si.edu/ids/deliveryService?id=NMAH-NMAH2004-05600","NMAH-NMAH2004-05600")</f>
        <v>NMAH-NMAH2004-05600</v>
      </c>
      <c r="B1314" s="3" t="s">
        <v>2982</v>
      </c>
      <c r="C1314" s="3">
        <v>751099</v>
      </c>
      <c r="D1314" s="3" t="s">
        <v>1716</v>
      </c>
      <c r="E1314" s="4" t="s">
        <v>2886</v>
      </c>
      <c r="F1314" t="s">
        <v>256</v>
      </c>
      <c r="G1314">
        <v>0.65348172187805176</v>
      </c>
      <c r="L1314" t="s">
        <v>42</v>
      </c>
      <c r="M1314">
        <v>0.68702346000000003</v>
      </c>
      <c r="N1314" t="s">
        <v>2983</v>
      </c>
      <c r="O1314">
        <v>3.5355511999999999E-2</v>
      </c>
      <c r="P1314" t="s">
        <v>46</v>
      </c>
      <c r="Q1314" s="4">
        <v>2.7080581999999999E-2</v>
      </c>
      <c r="R1314" t="s">
        <v>42</v>
      </c>
      <c r="S1314">
        <v>0.44686797</v>
      </c>
      <c r="T1314" t="s">
        <v>46</v>
      </c>
      <c r="U1314">
        <v>8.3160800000000007E-2</v>
      </c>
      <c r="V1314" t="s">
        <v>199</v>
      </c>
      <c r="W1314">
        <v>5.6676243000000001E-2</v>
      </c>
    </row>
    <row r="1315" spans="1:23" x14ac:dyDescent="0.25">
      <c r="A1315" s="3" t="str">
        <f>HYPERLINK("http://ids.si.edu/ids/deliveryService?id=NMAH-AHB2016q019406","NMAH-AHB2016q019406")</f>
        <v>NMAH-AHB2016q019406</v>
      </c>
      <c r="B1315" s="3" t="s">
        <v>2984</v>
      </c>
      <c r="C1315" s="3">
        <v>713026</v>
      </c>
      <c r="D1315" s="3" t="s">
        <v>1716</v>
      </c>
      <c r="E1315" s="4" t="s">
        <v>1814</v>
      </c>
      <c r="F1315" t="s">
        <v>178</v>
      </c>
      <c r="G1315">
        <v>0.92178869247436523</v>
      </c>
      <c r="H1315" t="s">
        <v>91</v>
      </c>
      <c r="I1315">
        <v>0.88283330202102661</v>
      </c>
      <c r="J1315" t="s">
        <v>179</v>
      </c>
      <c r="K1315" s="4">
        <v>0.80122315883636475</v>
      </c>
      <c r="L1315" t="s">
        <v>639</v>
      </c>
      <c r="M1315">
        <v>0.14978485999999999</v>
      </c>
      <c r="N1315" t="s">
        <v>412</v>
      </c>
      <c r="O1315">
        <v>0.10999118500000001</v>
      </c>
      <c r="P1315" t="s">
        <v>392</v>
      </c>
      <c r="Q1315" s="4">
        <v>7.6071780000000006E-2</v>
      </c>
      <c r="R1315" t="s">
        <v>2086</v>
      </c>
      <c r="S1315">
        <v>0.15113837999999999</v>
      </c>
      <c r="T1315" t="s">
        <v>788</v>
      </c>
      <c r="U1315">
        <v>0.13410385999999999</v>
      </c>
      <c r="V1315" t="s">
        <v>523</v>
      </c>
      <c r="W1315">
        <v>0.12957421</v>
      </c>
    </row>
    <row r="1316" spans="1:23" x14ac:dyDescent="0.25">
      <c r="A1316" s="3" t="str">
        <f>HYPERLINK("http://ids.si.edu/ids/deliveryService?id=NMAH-AHB2013q044060","NMAH-AHB2013q044060")</f>
        <v>NMAH-AHB2013q044060</v>
      </c>
      <c r="B1316" s="3" t="s">
        <v>2985</v>
      </c>
      <c r="C1316" s="3">
        <v>1437524</v>
      </c>
      <c r="D1316" s="3" t="s">
        <v>1716</v>
      </c>
      <c r="E1316" s="4" t="s">
        <v>2986</v>
      </c>
      <c r="F1316" t="s">
        <v>112</v>
      </c>
      <c r="G1316">
        <v>0.80401664972305298</v>
      </c>
      <c r="H1316" t="s">
        <v>49</v>
      </c>
      <c r="I1316">
        <v>0.79463475942611694</v>
      </c>
      <c r="J1316" t="s">
        <v>196</v>
      </c>
      <c r="K1316" s="4">
        <v>0.7471240758895874</v>
      </c>
      <c r="L1316" t="s">
        <v>336</v>
      </c>
      <c r="M1316">
        <v>0.55409370000000002</v>
      </c>
      <c r="N1316" t="s">
        <v>259</v>
      </c>
      <c r="O1316">
        <v>7.2825044000000005E-2</v>
      </c>
      <c r="P1316" t="s">
        <v>320</v>
      </c>
      <c r="Q1316" s="4">
        <v>6.7005999999999996E-2</v>
      </c>
      <c r="R1316" t="s">
        <v>336</v>
      </c>
      <c r="S1316">
        <v>9.895545E-2</v>
      </c>
      <c r="T1316" t="s">
        <v>175</v>
      </c>
      <c r="U1316">
        <v>8.6439440000000006E-2</v>
      </c>
      <c r="V1316" t="s">
        <v>706</v>
      </c>
      <c r="W1316">
        <v>7.173739400000001E-2</v>
      </c>
    </row>
    <row r="1317" spans="1:23" x14ac:dyDescent="0.25">
      <c r="A1317" s="3" t="str">
        <f>HYPERLINK("http://ids.si.edu/ids/deliveryService?id=NMAH-AHB2013q043989","NMAH-AHB2013q043989")</f>
        <v>NMAH-AHB2013q043989</v>
      </c>
      <c r="B1317" s="3" t="s">
        <v>2987</v>
      </c>
      <c r="C1317" s="3">
        <v>1438046</v>
      </c>
      <c r="D1317" s="3" t="s">
        <v>1716</v>
      </c>
      <c r="E1317" s="4" t="s">
        <v>1727</v>
      </c>
      <c r="F1317" t="s">
        <v>61</v>
      </c>
      <c r="G1317">
        <v>0.93413996696472168</v>
      </c>
      <c r="H1317" t="s">
        <v>112</v>
      </c>
      <c r="I1317">
        <v>0.87128269672393799</v>
      </c>
      <c r="J1317" t="s">
        <v>196</v>
      </c>
      <c r="K1317" s="4">
        <v>0.70026475191116333</v>
      </c>
      <c r="L1317" t="s">
        <v>79</v>
      </c>
      <c r="M1317">
        <v>0.54132760000000002</v>
      </c>
      <c r="N1317" t="s">
        <v>627</v>
      </c>
      <c r="O1317">
        <v>6.786652E-2</v>
      </c>
      <c r="P1317" t="s">
        <v>648</v>
      </c>
      <c r="Q1317" s="4">
        <v>3.5263210000000003E-2</v>
      </c>
      <c r="R1317" t="s">
        <v>66</v>
      </c>
      <c r="S1317">
        <v>0.36010903</v>
      </c>
      <c r="T1317" t="s">
        <v>151</v>
      </c>
      <c r="U1317">
        <v>4.2400001999999999E-2</v>
      </c>
      <c r="V1317" t="s">
        <v>495</v>
      </c>
      <c r="W1317">
        <v>3.2622308000000003E-2</v>
      </c>
    </row>
    <row r="1318" spans="1:23" x14ac:dyDescent="0.25">
      <c r="A1318" s="3" t="str">
        <f>HYPERLINK("http://ids.si.edu/ids/deliveryService?id=NMAH-AHB2013q045081","NMAH-AHB2013q045081")</f>
        <v>NMAH-AHB2013q045081</v>
      </c>
      <c r="B1318" s="3" t="s">
        <v>2988</v>
      </c>
      <c r="C1318" s="3">
        <v>1438542</v>
      </c>
      <c r="D1318" s="3" t="s">
        <v>1716</v>
      </c>
      <c r="E1318" s="4" t="s">
        <v>1761</v>
      </c>
      <c r="F1318" t="s">
        <v>196</v>
      </c>
      <c r="G1318">
        <v>0.86814534664154053</v>
      </c>
      <c r="H1318" t="s">
        <v>61</v>
      </c>
      <c r="I1318">
        <v>0.85248786211013794</v>
      </c>
      <c r="J1318" t="s">
        <v>112</v>
      </c>
      <c r="K1318" s="4">
        <v>0.81951183080673218</v>
      </c>
      <c r="L1318" t="s">
        <v>79</v>
      </c>
      <c r="M1318">
        <v>0.11758993600000001</v>
      </c>
      <c r="N1318" t="s">
        <v>65</v>
      </c>
      <c r="O1318">
        <v>6.335346E-2</v>
      </c>
      <c r="P1318" t="s">
        <v>1933</v>
      </c>
      <c r="Q1318" s="4">
        <v>5.8408790000000002E-2</v>
      </c>
      <c r="R1318" t="s">
        <v>1764</v>
      </c>
      <c r="S1318">
        <v>0.40298172999999998</v>
      </c>
      <c r="T1318" t="s">
        <v>71</v>
      </c>
      <c r="U1318">
        <v>0.103286065</v>
      </c>
      <c r="V1318" t="s">
        <v>175</v>
      </c>
      <c r="W1318">
        <v>6.0895882999999998E-2</v>
      </c>
    </row>
    <row r="1319" spans="1:23" x14ac:dyDescent="0.25">
      <c r="A1319" s="3" t="str">
        <f>HYPERLINK("http://ids.si.edu/ids/deliveryService?id=NMAH-RWS2011-01643","NMAH-RWS2011-01643")</f>
        <v>NMAH-RWS2011-01643</v>
      </c>
      <c r="B1319" s="3" t="s">
        <v>2989</v>
      </c>
      <c r="C1319" s="3">
        <v>847458</v>
      </c>
      <c r="D1319" s="3" t="s">
        <v>1716</v>
      </c>
      <c r="E1319" s="4" t="s">
        <v>1741</v>
      </c>
      <c r="F1319" t="s">
        <v>441</v>
      </c>
      <c r="G1319">
        <v>0.6757805347442627</v>
      </c>
      <c r="H1319" t="s">
        <v>439</v>
      </c>
      <c r="I1319">
        <v>0.62164807319641113</v>
      </c>
      <c r="J1319" t="s">
        <v>615</v>
      </c>
      <c r="K1319" s="4">
        <v>0.60989159345626831</v>
      </c>
      <c r="L1319" t="s">
        <v>1427</v>
      </c>
      <c r="M1319">
        <v>0.15290580000000001</v>
      </c>
      <c r="N1319" t="s">
        <v>184</v>
      </c>
      <c r="O1319">
        <v>0.14444684999999999</v>
      </c>
      <c r="P1319" t="s">
        <v>460</v>
      </c>
      <c r="Q1319" s="4">
        <v>0.10959528</v>
      </c>
      <c r="R1319" t="s">
        <v>571</v>
      </c>
      <c r="S1319">
        <v>0.34831706000000001</v>
      </c>
      <c r="T1319" t="s">
        <v>338</v>
      </c>
      <c r="U1319">
        <v>7.1163110000000002E-2</v>
      </c>
      <c r="V1319" t="s">
        <v>1427</v>
      </c>
      <c r="W1319">
        <v>6.5771380000000004E-2</v>
      </c>
    </row>
    <row r="1320" spans="1:23" x14ac:dyDescent="0.25">
      <c r="A1320" s="3" t="str">
        <f>HYPERLINK("http://ids.si.edu/ids/deliveryService?id=SIA-MAH-51578A","SIA-MAH-51578A")</f>
        <v>SIA-MAH-51578A</v>
      </c>
      <c r="B1320" s="3" t="s">
        <v>2990</v>
      </c>
      <c r="C1320" s="3">
        <v>843772</v>
      </c>
      <c r="D1320" s="3" t="s">
        <v>1716</v>
      </c>
      <c r="E1320" s="4" t="s">
        <v>2991</v>
      </c>
      <c r="F1320" t="s">
        <v>2992</v>
      </c>
      <c r="G1320">
        <v>0.91367870569229126</v>
      </c>
      <c r="H1320" t="s">
        <v>2993</v>
      </c>
      <c r="I1320">
        <v>0.90873026847839355</v>
      </c>
      <c r="J1320" t="s">
        <v>281</v>
      </c>
      <c r="K1320" s="4">
        <v>0.90143173933029175</v>
      </c>
      <c r="L1320" t="s">
        <v>598</v>
      </c>
      <c r="M1320">
        <v>0.120355114</v>
      </c>
      <c r="N1320" t="s">
        <v>668</v>
      </c>
      <c r="O1320">
        <v>0.10158601</v>
      </c>
      <c r="P1320" t="s">
        <v>597</v>
      </c>
      <c r="Q1320" s="4">
        <v>9.6811120000000001E-2</v>
      </c>
      <c r="R1320" t="s">
        <v>2994</v>
      </c>
      <c r="S1320">
        <v>0.30633038000000001</v>
      </c>
      <c r="T1320" t="s">
        <v>1142</v>
      </c>
      <c r="U1320">
        <v>5.8384419999999999E-2</v>
      </c>
      <c r="V1320" t="s">
        <v>2995</v>
      </c>
      <c r="W1320">
        <v>5.2145763999999997E-2</v>
      </c>
    </row>
    <row r="1321" spans="1:23" x14ac:dyDescent="0.25">
      <c r="A1321" s="3" t="str">
        <f>HYPERLINK("http://ids.si.edu/ids/deliveryService?id=NMAH-JN2014-4186","NMAH-JN2014-4186")</f>
        <v>NMAH-JN2014-4186</v>
      </c>
      <c r="B1321" s="3" t="s">
        <v>2996</v>
      </c>
      <c r="C1321" s="3">
        <v>856466</v>
      </c>
      <c r="D1321" s="3" t="s">
        <v>1716</v>
      </c>
      <c r="E1321" s="4" t="s">
        <v>2997</v>
      </c>
      <c r="F1321" t="s">
        <v>1836</v>
      </c>
      <c r="G1321">
        <v>0.91650044918060303</v>
      </c>
      <c r="H1321" t="s">
        <v>636</v>
      </c>
      <c r="I1321">
        <v>0.84278702735900879</v>
      </c>
      <c r="J1321" t="s">
        <v>178</v>
      </c>
      <c r="K1321" s="4">
        <v>0.8427390456199646</v>
      </c>
      <c r="L1321" t="s">
        <v>369</v>
      </c>
      <c r="M1321">
        <v>0.52498359999999988</v>
      </c>
      <c r="N1321" t="s">
        <v>183</v>
      </c>
      <c r="O1321">
        <v>0.22947787</v>
      </c>
      <c r="P1321" t="s">
        <v>1184</v>
      </c>
      <c r="Q1321" s="4">
        <v>0.22563505</v>
      </c>
      <c r="R1321" t="s">
        <v>390</v>
      </c>
      <c r="S1321">
        <v>0.28244809999999998</v>
      </c>
      <c r="T1321" t="s">
        <v>369</v>
      </c>
      <c r="U1321">
        <v>0.25819004000000001</v>
      </c>
      <c r="V1321" t="s">
        <v>893</v>
      </c>
      <c r="W1321">
        <v>0.10528117400000001</v>
      </c>
    </row>
    <row r="1322" spans="1:23" x14ac:dyDescent="0.25">
      <c r="A1322" s="3" t="str">
        <f>HYPERLINK("http://ids.si.edu/ids/deliveryService?id=NMAH-AHB2013q044849","NMAH-AHB2013q044849")</f>
        <v>NMAH-AHB2013q044849</v>
      </c>
      <c r="B1322" s="3" t="s">
        <v>2998</v>
      </c>
      <c r="C1322" s="3">
        <v>1438220</v>
      </c>
      <c r="D1322" s="3" t="s">
        <v>1716</v>
      </c>
      <c r="E1322" s="4" t="s">
        <v>1761</v>
      </c>
      <c r="F1322" t="s">
        <v>91</v>
      </c>
      <c r="G1322">
        <v>0.91031128168106079</v>
      </c>
      <c r="H1322" t="s">
        <v>1757</v>
      </c>
      <c r="I1322">
        <v>0.75987076759338379</v>
      </c>
      <c r="J1322" t="s">
        <v>38</v>
      </c>
      <c r="K1322" s="4">
        <v>0.73045891523361206</v>
      </c>
      <c r="L1322" t="s">
        <v>149</v>
      </c>
      <c r="M1322">
        <v>0.35790977000000002</v>
      </c>
      <c r="N1322" t="s">
        <v>782</v>
      </c>
      <c r="O1322">
        <v>0.26997696999999998</v>
      </c>
      <c r="P1322" t="s">
        <v>2999</v>
      </c>
      <c r="Q1322" s="4">
        <v>0.10447931000000001</v>
      </c>
      <c r="R1322" t="s">
        <v>149</v>
      </c>
      <c r="S1322">
        <v>0.71231850000000008</v>
      </c>
      <c r="T1322" t="s">
        <v>336</v>
      </c>
      <c r="U1322">
        <v>3.8155175999999999E-2</v>
      </c>
      <c r="V1322" t="s">
        <v>765</v>
      </c>
      <c r="W1322">
        <v>1.8150102000000001E-2</v>
      </c>
    </row>
    <row r="1323" spans="1:23" x14ac:dyDescent="0.25">
      <c r="A1323" s="3" t="str">
        <f>HYPERLINK("http://ids.si.edu/ids/deliveryService?id=NMAH-AHB2013q044307","NMAH-AHB2013q044307")</f>
        <v>NMAH-AHB2013q044307</v>
      </c>
      <c r="B1323" s="3" t="s">
        <v>3000</v>
      </c>
      <c r="C1323" s="3">
        <v>1437339</v>
      </c>
      <c r="D1323" s="3" t="s">
        <v>1716</v>
      </c>
      <c r="E1323" s="4" t="s">
        <v>1763</v>
      </c>
      <c r="F1323" t="s">
        <v>112</v>
      </c>
      <c r="G1323">
        <v>0.78258353471755981</v>
      </c>
      <c r="H1323" t="s">
        <v>310</v>
      </c>
      <c r="I1323">
        <v>0.74698299169540405</v>
      </c>
      <c r="J1323" t="s">
        <v>196</v>
      </c>
      <c r="K1323" s="4">
        <v>0.71537578105926514</v>
      </c>
      <c r="L1323" t="s">
        <v>336</v>
      </c>
      <c r="M1323">
        <v>0.16592056999999999</v>
      </c>
      <c r="N1323" t="s">
        <v>1093</v>
      </c>
      <c r="O1323">
        <v>0.13702239999999999</v>
      </c>
      <c r="P1323" t="s">
        <v>1764</v>
      </c>
      <c r="Q1323" s="4">
        <v>0.12301013</v>
      </c>
      <c r="R1323" t="s">
        <v>336</v>
      </c>
      <c r="S1323">
        <v>0.20402302</v>
      </c>
      <c r="T1323" t="s">
        <v>1764</v>
      </c>
      <c r="U1323">
        <v>0.12532902000000001</v>
      </c>
      <c r="V1323" t="s">
        <v>175</v>
      </c>
      <c r="W1323">
        <v>0.12029635</v>
      </c>
    </row>
    <row r="1324" spans="1:23" x14ac:dyDescent="0.25">
      <c r="A1324" s="3" t="str">
        <f>HYPERLINK("http://ids.si.edu/ids/deliveryService?id=SIA-MAH-48122J","SIA-MAH-48122J")</f>
        <v>SIA-MAH-48122J</v>
      </c>
      <c r="B1324" s="3" t="s">
        <v>3001</v>
      </c>
      <c r="C1324" s="3">
        <v>843774</v>
      </c>
      <c r="D1324" s="3" t="s">
        <v>1716</v>
      </c>
      <c r="E1324" s="4" t="s">
        <v>2991</v>
      </c>
      <c r="F1324" t="s">
        <v>281</v>
      </c>
      <c r="G1324">
        <v>0.91380995512008667</v>
      </c>
      <c r="H1324" t="s">
        <v>2992</v>
      </c>
      <c r="I1324">
        <v>0.87346035242080688</v>
      </c>
      <c r="J1324" t="s">
        <v>3002</v>
      </c>
      <c r="K1324" s="4">
        <v>0.87180888652801514</v>
      </c>
      <c r="L1324" t="s">
        <v>144</v>
      </c>
      <c r="M1324">
        <v>0.24734923</v>
      </c>
      <c r="N1324" t="s">
        <v>2566</v>
      </c>
      <c r="O1324">
        <v>5.5492382E-2</v>
      </c>
      <c r="P1324" t="s">
        <v>183</v>
      </c>
      <c r="Q1324" s="4">
        <v>5.007375E-2</v>
      </c>
      <c r="R1324" t="s">
        <v>804</v>
      </c>
      <c r="S1324">
        <v>5.6973330000000003E-2</v>
      </c>
      <c r="T1324" t="s">
        <v>668</v>
      </c>
      <c r="U1324">
        <v>4.4020875999999987E-2</v>
      </c>
      <c r="V1324" t="s">
        <v>177</v>
      </c>
      <c r="W1324">
        <v>3.7891354000000002E-2</v>
      </c>
    </row>
    <row r="1325" spans="1:23" x14ac:dyDescent="0.25">
      <c r="A1325" s="3" t="str">
        <f>HYPERLINK("http://ids.si.edu/ids/deliveryService?id=NMAH-AHB2017q027275","NMAH-AHB2017q027275")</f>
        <v>NMAH-AHB2017q027275</v>
      </c>
      <c r="B1325" s="3" t="s">
        <v>3003</v>
      </c>
      <c r="C1325" s="3">
        <v>1853482</v>
      </c>
      <c r="D1325" s="3" t="s">
        <v>1716</v>
      </c>
      <c r="E1325" s="4" t="s">
        <v>3004</v>
      </c>
      <c r="F1325" t="s">
        <v>667</v>
      </c>
      <c r="G1325">
        <v>0.69583165645599365</v>
      </c>
      <c r="H1325" t="s">
        <v>574</v>
      </c>
      <c r="I1325">
        <v>0.6646498441696167</v>
      </c>
      <c r="J1325" t="s">
        <v>188</v>
      </c>
      <c r="K1325" s="4">
        <v>0.59940940141677856</v>
      </c>
      <c r="L1325" t="s">
        <v>314</v>
      </c>
      <c r="M1325">
        <v>0.14891051</v>
      </c>
      <c r="N1325" t="s">
        <v>336</v>
      </c>
      <c r="O1325">
        <v>8.9274629999999994E-2</v>
      </c>
      <c r="P1325" t="s">
        <v>313</v>
      </c>
      <c r="Q1325" s="4">
        <v>6.0291129999999998E-2</v>
      </c>
      <c r="R1325" t="s">
        <v>369</v>
      </c>
      <c r="S1325">
        <v>0.19669743000000001</v>
      </c>
      <c r="T1325" t="s">
        <v>159</v>
      </c>
      <c r="U1325">
        <v>0.11808094</v>
      </c>
      <c r="V1325" t="s">
        <v>313</v>
      </c>
      <c r="W1325">
        <v>8.2309779999999999E-2</v>
      </c>
    </row>
    <row r="1326" spans="1:23" x14ac:dyDescent="0.25">
      <c r="A1326" s="3" t="str">
        <f>HYPERLINK("http://ids.si.edu/ids/deliveryService?id=NMAH-AHB2013q044212","NMAH-AHB2013q044212")</f>
        <v>NMAH-AHB2013q044212</v>
      </c>
      <c r="B1326" s="3" t="s">
        <v>3005</v>
      </c>
      <c r="C1326" s="3">
        <v>1437644</v>
      </c>
      <c r="D1326" s="3" t="s">
        <v>1716</v>
      </c>
      <c r="E1326" s="4" t="s">
        <v>1727</v>
      </c>
      <c r="F1326" t="s">
        <v>49</v>
      </c>
      <c r="G1326">
        <v>0.63302761316299438</v>
      </c>
      <c r="H1326" t="s">
        <v>50</v>
      </c>
      <c r="I1326">
        <v>0.60706108808517456</v>
      </c>
      <c r="L1326" t="s">
        <v>336</v>
      </c>
      <c r="M1326">
        <v>0.74317809999999995</v>
      </c>
      <c r="N1326" t="s">
        <v>369</v>
      </c>
      <c r="O1326">
        <v>5.8294319999999997E-2</v>
      </c>
      <c r="P1326" t="s">
        <v>357</v>
      </c>
      <c r="Q1326" s="4">
        <v>3.6542079999999998E-2</v>
      </c>
      <c r="R1326" t="s">
        <v>336</v>
      </c>
      <c r="S1326">
        <v>0.32086199999999998</v>
      </c>
      <c r="T1326" t="s">
        <v>369</v>
      </c>
      <c r="U1326">
        <v>0.20444926999999999</v>
      </c>
      <c r="V1326" t="s">
        <v>149</v>
      </c>
      <c r="W1326">
        <v>9.1300569999999998E-2</v>
      </c>
    </row>
    <row r="1327" spans="1:23" x14ac:dyDescent="0.25">
      <c r="A1327" s="3" t="str">
        <f>HYPERLINK("http://ids.si.edu/ids/deliveryService?id=NMAH-AHB2013q044321","NMAH-AHB2013q044321")</f>
        <v>NMAH-AHB2013q044321</v>
      </c>
      <c r="B1327" s="3" t="s">
        <v>3006</v>
      </c>
      <c r="C1327" s="3">
        <v>1437354</v>
      </c>
      <c r="D1327" s="3" t="s">
        <v>1716</v>
      </c>
      <c r="E1327" s="4" t="s">
        <v>1763</v>
      </c>
      <c r="F1327" t="s">
        <v>112</v>
      </c>
      <c r="G1327">
        <v>0.68572378158569336</v>
      </c>
      <c r="L1327" t="s">
        <v>336</v>
      </c>
      <c r="M1327">
        <v>0.99010010000000004</v>
      </c>
      <c r="N1327" t="s">
        <v>148</v>
      </c>
      <c r="O1327">
        <v>4.1426476000000004E-3</v>
      </c>
      <c r="P1327" t="s">
        <v>149</v>
      </c>
      <c r="Q1327" s="4">
        <v>3.0400835E-3</v>
      </c>
      <c r="R1327" t="s">
        <v>336</v>
      </c>
      <c r="S1327">
        <v>0.64684059999999999</v>
      </c>
      <c r="T1327" t="s">
        <v>148</v>
      </c>
      <c r="U1327">
        <v>0.108280525</v>
      </c>
      <c r="V1327" t="s">
        <v>95</v>
      </c>
      <c r="W1327">
        <v>9.8693080000000002E-2</v>
      </c>
    </row>
    <row r="1328" spans="1:23" x14ac:dyDescent="0.25">
      <c r="A1328" s="3" t="str">
        <f>HYPERLINK("http://ids.si.edu/ids/deliveryService?id=NMAH-JN2014-3901","NMAH-JN2014-3901")</f>
        <v>NMAH-JN2014-3901</v>
      </c>
      <c r="B1328" s="3" t="s">
        <v>3007</v>
      </c>
      <c r="C1328" s="3">
        <v>1289290</v>
      </c>
      <c r="D1328" s="3" t="s">
        <v>1716</v>
      </c>
      <c r="E1328" s="4" t="s">
        <v>3008</v>
      </c>
      <c r="F1328" t="s">
        <v>256</v>
      </c>
      <c r="G1328">
        <v>0.69171404838562012</v>
      </c>
      <c r="H1328" t="s">
        <v>558</v>
      </c>
      <c r="I1328">
        <v>0.66474509239196777</v>
      </c>
      <c r="L1328" t="s">
        <v>53</v>
      </c>
      <c r="M1328">
        <v>0.59373959999999992</v>
      </c>
      <c r="N1328" t="s">
        <v>87</v>
      </c>
      <c r="O1328">
        <v>0.20191862999999999</v>
      </c>
      <c r="P1328" t="s">
        <v>245</v>
      </c>
      <c r="Q1328" s="4">
        <v>5.3601883000000003E-2</v>
      </c>
      <c r="R1328" t="s">
        <v>53</v>
      </c>
      <c r="S1328">
        <v>0.35324094</v>
      </c>
      <c r="T1328" t="s">
        <v>87</v>
      </c>
      <c r="U1328">
        <v>0.31490794</v>
      </c>
      <c r="V1328" t="s">
        <v>52</v>
      </c>
      <c r="W1328">
        <v>9.3994460000000002E-2</v>
      </c>
    </row>
    <row r="1329" spans="1:23" x14ac:dyDescent="0.25">
      <c r="A1329" s="3" t="str">
        <f>HYPERLINK("http://ids.si.edu/ids/deliveryService?id=NMAH-AHB2011q09836","NMAH-AHB2011q09836")</f>
        <v>NMAH-AHB2011q09836</v>
      </c>
      <c r="B1329" s="3" t="s">
        <v>3009</v>
      </c>
      <c r="C1329" s="3">
        <v>1108030</v>
      </c>
      <c r="D1329" s="3" t="s">
        <v>1716</v>
      </c>
      <c r="E1329" s="4" t="s">
        <v>3010</v>
      </c>
      <c r="F1329" t="s">
        <v>271</v>
      </c>
      <c r="G1329">
        <v>0.91184282302856445</v>
      </c>
      <c r="H1329" t="s">
        <v>112</v>
      </c>
      <c r="I1329">
        <v>0.80401664972305298</v>
      </c>
      <c r="J1329" t="s">
        <v>447</v>
      </c>
      <c r="K1329" s="4">
        <v>0.65954881906509399</v>
      </c>
      <c r="L1329" t="s">
        <v>66</v>
      </c>
      <c r="M1329">
        <v>0.93204962999999996</v>
      </c>
      <c r="N1329" t="s">
        <v>65</v>
      </c>
      <c r="O1329">
        <v>4.5638909999999998E-2</v>
      </c>
      <c r="P1329" t="s">
        <v>209</v>
      </c>
      <c r="Q1329" s="4">
        <v>8.1253419999999989E-3</v>
      </c>
      <c r="R1329" t="s">
        <v>29</v>
      </c>
      <c r="S1329">
        <v>0.46491092000000001</v>
      </c>
      <c r="T1329" t="s">
        <v>66</v>
      </c>
      <c r="U1329">
        <v>0.42575360000000001</v>
      </c>
      <c r="V1329" t="s">
        <v>65</v>
      </c>
      <c r="W1329">
        <v>2.703885E-2</v>
      </c>
    </row>
    <row r="1330" spans="1:23" x14ac:dyDescent="0.25">
      <c r="A1330" s="3" t="str">
        <f>HYPERLINK("http://ids.si.edu/ids/deliveryService?id=NMAH-AHB2013q043761","NMAH-AHB2013q043761")</f>
        <v>NMAH-AHB2013q043761</v>
      </c>
      <c r="B1330" s="3" t="s">
        <v>3011</v>
      </c>
      <c r="C1330" s="3">
        <v>1437228</v>
      </c>
      <c r="D1330" s="3" t="s">
        <v>1716</v>
      </c>
      <c r="E1330" s="4" t="s">
        <v>336</v>
      </c>
      <c r="F1330" t="s">
        <v>1757</v>
      </c>
      <c r="G1330">
        <v>0.89705574512481689</v>
      </c>
      <c r="H1330" t="s">
        <v>91</v>
      </c>
      <c r="I1330">
        <v>0.88283330202102661</v>
      </c>
      <c r="J1330" t="s">
        <v>595</v>
      </c>
      <c r="K1330" s="4">
        <v>0.76877039670944214</v>
      </c>
      <c r="L1330" t="s">
        <v>336</v>
      </c>
      <c r="M1330">
        <v>0.79339989999999994</v>
      </c>
      <c r="N1330" t="s">
        <v>668</v>
      </c>
      <c r="O1330">
        <v>5.1281489999999999E-2</v>
      </c>
      <c r="P1330" t="s">
        <v>150</v>
      </c>
      <c r="Q1330" s="4">
        <v>1.5662889999999999E-2</v>
      </c>
      <c r="R1330" t="s">
        <v>93</v>
      </c>
      <c r="S1330">
        <v>0.21311869</v>
      </c>
      <c r="T1330" t="s">
        <v>336</v>
      </c>
      <c r="U1330">
        <v>0.12203947499999999</v>
      </c>
      <c r="V1330" t="s">
        <v>95</v>
      </c>
      <c r="W1330">
        <v>8.1001355999999997E-2</v>
      </c>
    </row>
    <row r="1331" spans="1:23" x14ac:dyDescent="0.25">
      <c r="A1331" s="3" t="str">
        <f>HYPERLINK("http://ids.si.edu/ids/deliveryService?id=NMAH-AHB2016q019017","NMAH-AHB2016q019017")</f>
        <v>NMAH-AHB2016q019017</v>
      </c>
      <c r="B1331" s="3" t="s">
        <v>3012</v>
      </c>
      <c r="C1331" s="3">
        <v>846149</v>
      </c>
      <c r="D1331" s="3" t="s">
        <v>1716</v>
      </c>
      <c r="E1331" s="4" t="s">
        <v>3013</v>
      </c>
      <c r="F1331" t="s">
        <v>91</v>
      </c>
      <c r="G1331">
        <v>0.88283330202102661</v>
      </c>
      <c r="H1331" t="s">
        <v>1150</v>
      </c>
      <c r="I1331">
        <v>0.57592505216598511</v>
      </c>
      <c r="J1331" t="s">
        <v>280</v>
      </c>
      <c r="K1331" s="4">
        <v>0.54015713930130005</v>
      </c>
      <c r="L1331" t="s">
        <v>225</v>
      </c>
      <c r="M1331">
        <v>0.13158885000000001</v>
      </c>
      <c r="N1331" t="s">
        <v>668</v>
      </c>
      <c r="O1331">
        <v>6.6206890000000004E-2</v>
      </c>
      <c r="P1331" t="s">
        <v>536</v>
      </c>
      <c r="Q1331" s="4">
        <v>6.3899479999999995E-2</v>
      </c>
      <c r="R1331" t="s">
        <v>536</v>
      </c>
      <c r="S1331">
        <v>0.35886863000000002</v>
      </c>
      <c r="T1331" t="s">
        <v>215</v>
      </c>
      <c r="U1331">
        <v>0.10364969</v>
      </c>
      <c r="V1331" t="s">
        <v>82</v>
      </c>
      <c r="W1331">
        <v>9.2679300000000006E-2</v>
      </c>
    </row>
    <row r="1332" spans="1:23" x14ac:dyDescent="0.25">
      <c r="A1332" s="3" t="str">
        <f>HYPERLINK("http://ids.si.edu/ids/deliveryService?id=NMAH-AHB2013q043845","NMAH-AHB2013q043845")</f>
        <v>NMAH-AHB2013q043845</v>
      </c>
      <c r="B1332" s="3" t="s">
        <v>3014</v>
      </c>
      <c r="C1332" s="3">
        <v>1437293</v>
      </c>
      <c r="D1332" s="3" t="s">
        <v>1716</v>
      </c>
      <c r="E1332" s="4" t="s">
        <v>1727</v>
      </c>
      <c r="F1332" t="s">
        <v>91</v>
      </c>
      <c r="G1332">
        <v>0.91031128168106079</v>
      </c>
      <c r="H1332" t="s">
        <v>132</v>
      </c>
      <c r="I1332">
        <v>0.88201820850372314</v>
      </c>
      <c r="J1332" t="s">
        <v>1774</v>
      </c>
      <c r="K1332" s="4">
        <v>0.85265529155731201</v>
      </c>
      <c r="L1332" t="s">
        <v>149</v>
      </c>
      <c r="M1332">
        <v>0.97716170000000002</v>
      </c>
      <c r="N1332" t="s">
        <v>1338</v>
      </c>
      <c r="O1332">
        <v>6.8783059999999998E-3</v>
      </c>
      <c r="P1332" t="s">
        <v>1052</v>
      </c>
      <c r="Q1332" s="4">
        <v>1.7234190999999999E-3</v>
      </c>
      <c r="R1332" t="s">
        <v>149</v>
      </c>
      <c r="S1332">
        <v>0.45742115</v>
      </c>
      <c r="T1332" t="s">
        <v>336</v>
      </c>
      <c r="U1332">
        <v>6.0645980000000002E-2</v>
      </c>
      <c r="V1332" t="s">
        <v>93</v>
      </c>
      <c r="W1332">
        <v>4.9379390000000002E-2</v>
      </c>
    </row>
    <row r="1333" spans="1:23" x14ac:dyDescent="0.25">
      <c r="A1333" s="3" t="str">
        <f>HYPERLINK("http://ids.si.edu/ids/deliveryService?id=NMAH-AHB2013q044226","NMAH-AHB2013q044226")</f>
        <v>NMAH-AHB2013q044226</v>
      </c>
      <c r="B1333" s="3" t="s">
        <v>3015</v>
      </c>
      <c r="C1333" s="3">
        <v>1437661</v>
      </c>
      <c r="D1333" s="3" t="s">
        <v>1716</v>
      </c>
      <c r="E1333" s="4" t="s">
        <v>1727</v>
      </c>
      <c r="F1333" t="s">
        <v>112</v>
      </c>
      <c r="G1333">
        <v>0.84902584552764893</v>
      </c>
      <c r="H1333" t="s">
        <v>1909</v>
      </c>
      <c r="I1333">
        <v>0.71572518348693848</v>
      </c>
      <c r="J1333" t="s">
        <v>196</v>
      </c>
      <c r="K1333" s="4">
        <v>0.70555394887924194</v>
      </c>
      <c r="L1333" t="s">
        <v>336</v>
      </c>
      <c r="M1333">
        <v>0.96550380000000002</v>
      </c>
      <c r="N1333" t="s">
        <v>259</v>
      </c>
      <c r="O1333">
        <v>5.165663E-3</v>
      </c>
      <c r="P1333" t="s">
        <v>159</v>
      </c>
      <c r="Q1333" s="4">
        <v>2.6070601000000001E-3</v>
      </c>
      <c r="R1333" t="s">
        <v>175</v>
      </c>
      <c r="S1333">
        <v>0.24835417000000001</v>
      </c>
      <c r="T1333" t="s">
        <v>336</v>
      </c>
      <c r="U1333">
        <v>0.14752519</v>
      </c>
      <c r="V1333" t="s">
        <v>141</v>
      </c>
      <c r="W1333">
        <v>5.8778755000000002E-2</v>
      </c>
    </row>
    <row r="1334" spans="1:23" x14ac:dyDescent="0.25">
      <c r="A1334" s="3" t="str">
        <f>HYPERLINK("http://ids.si.edu/ids/deliveryService?id=NMAH-AHB2013q043831","NMAH-AHB2013q043831")</f>
        <v>NMAH-AHB2013q043831</v>
      </c>
      <c r="B1334" s="3" t="s">
        <v>3016</v>
      </c>
      <c r="C1334" s="3">
        <v>1437502</v>
      </c>
      <c r="D1334" s="3" t="s">
        <v>1716</v>
      </c>
      <c r="E1334" s="4" t="s">
        <v>1727</v>
      </c>
      <c r="F1334" t="s">
        <v>196</v>
      </c>
      <c r="G1334">
        <v>0.92514073848724365</v>
      </c>
      <c r="H1334" t="s">
        <v>112</v>
      </c>
      <c r="I1334">
        <v>0.80401664972305298</v>
      </c>
      <c r="J1334" t="s">
        <v>1784</v>
      </c>
      <c r="K1334" s="4">
        <v>0.69794368743896484</v>
      </c>
      <c r="L1334" t="s">
        <v>1099</v>
      </c>
      <c r="M1334">
        <v>0.22881936999999999</v>
      </c>
      <c r="N1334" t="s">
        <v>209</v>
      </c>
      <c r="O1334">
        <v>0.10790698999999999</v>
      </c>
      <c r="P1334" t="s">
        <v>185</v>
      </c>
      <c r="Q1334" s="4">
        <v>8.5667740000000006E-2</v>
      </c>
      <c r="R1334" t="s">
        <v>185</v>
      </c>
      <c r="S1334">
        <v>0.18861820000000001</v>
      </c>
      <c r="T1334" t="s">
        <v>148</v>
      </c>
      <c r="U1334">
        <v>0.12834019999999999</v>
      </c>
      <c r="V1334" t="s">
        <v>151</v>
      </c>
      <c r="W1334">
        <v>7.840743E-2</v>
      </c>
    </row>
    <row r="1335" spans="1:23" x14ac:dyDescent="0.25">
      <c r="A1335" s="3" t="str">
        <f>HYPERLINK("http://ids.si.edu/ids/deliveryService?id=NMAH-AHB2013q044797","NMAH-AHB2013q044797")</f>
        <v>NMAH-AHB2013q044797</v>
      </c>
      <c r="B1335" s="3" t="s">
        <v>3017</v>
      </c>
      <c r="C1335" s="3">
        <v>1437963</v>
      </c>
      <c r="D1335" s="3" t="s">
        <v>1716</v>
      </c>
      <c r="E1335" s="4" t="s">
        <v>1761</v>
      </c>
      <c r="F1335" t="s">
        <v>1757</v>
      </c>
      <c r="G1335">
        <v>0.86456239223480225</v>
      </c>
      <c r="H1335" t="s">
        <v>61</v>
      </c>
      <c r="I1335">
        <v>0.85248786211013794</v>
      </c>
      <c r="J1335" t="s">
        <v>112</v>
      </c>
      <c r="K1335" s="4">
        <v>0.81951183080673218</v>
      </c>
      <c r="L1335" t="s">
        <v>149</v>
      </c>
      <c r="M1335">
        <v>0.88647496999999997</v>
      </c>
      <c r="N1335" t="s">
        <v>336</v>
      </c>
      <c r="O1335">
        <v>3.220199E-2</v>
      </c>
      <c r="P1335" t="s">
        <v>3018</v>
      </c>
      <c r="Q1335" s="4">
        <v>1.4990734E-2</v>
      </c>
      <c r="R1335" t="s">
        <v>149</v>
      </c>
      <c r="S1335">
        <v>0.36681855000000002</v>
      </c>
      <c r="T1335" t="s">
        <v>336</v>
      </c>
      <c r="U1335">
        <v>0.10360470400000001</v>
      </c>
      <c r="V1335" t="s">
        <v>445</v>
      </c>
      <c r="W1335">
        <v>8.3389119999999997E-2</v>
      </c>
    </row>
    <row r="1336" spans="1:23" x14ac:dyDescent="0.25">
      <c r="A1336" s="3" t="str">
        <f>HYPERLINK("http://ids.si.edu/ids/deliveryService?id=NMAH-ET2014-41335","NMAH-ET2014-41335")</f>
        <v>NMAH-ET2014-41335</v>
      </c>
      <c r="B1336" s="3" t="s">
        <v>3019</v>
      </c>
      <c r="C1336" s="3">
        <v>862228</v>
      </c>
      <c r="D1336" s="3" t="s">
        <v>1716</v>
      </c>
      <c r="E1336" s="4" t="s">
        <v>3020</v>
      </c>
      <c r="F1336" t="s">
        <v>50</v>
      </c>
      <c r="G1336">
        <v>0.5114516019821167</v>
      </c>
      <c r="L1336" t="s">
        <v>948</v>
      </c>
      <c r="M1336">
        <v>0.35859187999999997</v>
      </c>
      <c r="N1336" t="s">
        <v>41</v>
      </c>
      <c r="O1336">
        <v>0.13800117000000001</v>
      </c>
      <c r="P1336" t="s">
        <v>84</v>
      </c>
      <c r="Q1336" s="4">
        <v>0.11974963499999999</v>
      </c>
      <c r="R1336" t="s">
        <v>948</v>
      </c>
      <c r="S1336">
        <v>0.92799179999999992</v>
      </c>
      <c r="T1336" t="s">
        <v>175</v>
      </c>
      <c r="U1336">
        <v>6.908796E-3</v>
      </c>
      <c r="V1336" t="s">
        <v>3021</v>
      </c>
      <c r="W1336">
        <v>6.6761104E-3</v>
      </c>
    </row>
    <row r="1337" spans="1:23" x14ac:dyDescent="0.25">
      <c r="A1337" s="3" t="str">
        <f>HYPERLINK("http://ids.si.edu/ids/deliveryService?id=NMAH-AHB2009q01593-001","NMAH-AHB2009q01593-001")</f>
        <v>NMAH-AHB2009q01593-001</v>
      </c>
      <c r="B1337" s="3" t="s">
        <v>3022</v>
      </c>
      <c r="C1337" s="3">
        <v>1374218</v>
      </c>
      <c r="D1337" s="3" t="s">
        <v>1716</v>
      </c>
      <c r="E1337" s="4" t="s">
        <v>842</v>
      </c>
      <c r="F1337" t="s">
        <v>206</v>
      </c>
      <c r="G1337">
        <v>0.80151194334030151</v>
      </c>
      <c r="H1337" t="s">
        <v>188</v>
      </c>
      <c r="I1337">
        <v>0.62983417510986328</v>
      </c>
      <c r="J1337" t="s">
        <v>2867</v>
      </c>
      <c r="K1337" s="4">
        <v>0.62321954965591431</v>
      </c>
      <c r="L1337" t="s">
        <v>502</v>
      </c>
      <c r="M1337">
        <v>0.24777646</v>
      </c>
      <c r="N1337" t="s">
        <v>334</v>
      </c>
      <c r="O1337">
        <v>7.4064370000000004E-2</v>
      </c>
      <c r="P1337" t="s">
        <v>233</v>
      </c>
      <c r="Q1337" s="4">
        <v>5.2713940000000001E-2</v>
      </c>
      <c r="R1337" t="s">
        <v>303</v>
      </c>
      <c r="S1337">
        <v>0.111235425</v>
      </c>
      <c r="T1337" t="s">
        <v>190</v>
      </c>
      <c r="U1337">
        <v>4.770303E-2</v>
      </c>
      <c r="V1337" t="s">
        <v>334</v>
      </c>
      <c r="W1337">
        <v>4.3284892999999998E-2</v>
      </c>
    </row>
    <row r="1338" spans="1:23" x14ac:dyDescent="0.25">
      <c r="A1338" s="3" t="str">
        <f>HYPERLINK("http://ids.si.edu/ids/deliveryService?id=NMAH-AHB2013q044793","NMAH-AHB2013q044793")</f>
        <v>NMAH-AHB2013q044793</v>
      </c>
      <c r="B1338" s="3" t="s">
        <v>3023</v>
      </c>
      <c r="C1338" s="3">
        <v>1437941</v>
      </c>
      <c r="D1338" s="3" t="s">
        <v>1716</v>
      </c>
      <c r="E1338" s="4" t="s">
        <v>1761</v>
      </c>
      <c r="F1338" t="s">
        <v>50</v>
      </c>
      <c r="G1338">
        <v>0.60706108808517456</v>
      </c>
      <c r="H1338" t="s">
        <v>49</v>
      </c>
      <c r="I1338">
        <v>0.58143907785415649</v>
      </c>
      <c r="J1338" t="s">
        <v>301</v>
      </c>
      <c r="K1338" s="4">
        <v>0.56313377618789673</v>
      </c>
      <c r="L1338" t="s">
        <v>336</v>
      </c>
      <c r="M1338">
        <v>0.99489474</v>
      </c>
      <c r="N1338" t="s">
        <v>239</v>
      </c>
      <c r="O1338">
        <v>2.0717606E-3</v>
      </c>
      <c r="P1338" t="s">
        <v>273</v>
      </c>
      <c r="Q1338" s="4">
        <v>1.2660288E-3</v>
      </c>
      <c r="R1338" t="s">
        <v>175</v>
      </c>
      <c r="S1338">
        <v>0.28276440000000003</v>
      </c>
      <c r="T1338" t="s">
        <v>336</v>
      </c>
      <c r="U1338">
        <v>7.6556180000000001E-2</v>
      </c>
      <c r="V1338" t="s">
        <v>71</v>
      </c>
      <c r="W1338">
        <v>5.1577720000000001E-2</v>
      </c>
    </row>
    <row r="1339" spans="1:23" x14ac:dyDescent="0.25">
      <c r="A1339" s="3" t="str">
        <f>HYPERLINK("http://ids.si.edu/ids/deliveryService?id=SIA-MAH-48637A","SIA-MAH-48637A")</f>
        <v>SIA-MAH-48637A</v>
      </c>
      <c r="B1339" s="3" t="s">
        <v>3024</v>
      </c>
      <c r="C1339" s="3">
        <v>843777</v>
      </c>
      <c r="D1339" s="3" t="s">
        <v>1716</v>
      </c>
      <c r="E1339" s="4" t="s">
        <v>2991</v>
      </c>
      <c r="F1339" t="s">
        <v>3002</v>
      </c>
      <c r="G1339">
        <v>0.95030510425567627</v>
      </c>
      <c r="H1339" t="s">
        <v>2993</v>
      </c>
      <c r="I1339">
        <v>0.94623053073883057</v>
      </c>
      <c r="J1339" t="s">
        <v>2992</v>
      </c>
      <c r="K1339" s="4">
        <v>0.94596529006958008</v>
      </c>
      <c r="L1339" t="s">
        <v>2995</v>
      </c>
      <c r="M1339">
        <v>0.23202442000000001</v>
      </c>
      <c r="N1339" t="s">
        <v>597</v>
      </c>
      <c r="O1339">
        <v>0.102838576</v>
      </c>
      <c r="P1339" t="s">
        <v>598</v>
      </c>
      <c r="Q1339" s="4">
        <v>8.6197410000000002E-2</v>
      </c>
      <c r="R1339" t="s">
        <v>1099</v>
      </c>
      <c r="S1339">
        <v>0.14123926000000001</v>
      </c>
      <c r="T1339" t="s">
        <v>638</v>
      </c>
      <c r="U1339">
        <v>9.3340359999999997E-2</v>
      </c>
      <c r="V1339" t="s">
        <v>668</v>
      </c>
      <c r="W1339">
        <v>6.7781105999999994E-2</v>
      </c>
    </row>
    <row r="1340" spans="1:23" x14ac:dyDescent="0.25">
      <c r="A1340" s="3" t="str">
        <f>HYPERLINK("http://ids.si.edu/ids/deliveryService?id=NMAH-AHB2013q043459","NMAH-AHB2013q043459")</f>
        <v>NMAH-AHB2013q043459</v>
      </c>
      <c r="B1340" s="3" t="s">
        <v>3025</v>
      </c>
      <c r="C1340" s="3">
        <v>1437444</v>
      </c>
      <c r="D1340" s="3" t="s">
        <v>1716</v>
      </c>
      <c r="E1340" s="4" t="s">
        <v>1727</v>
      </c>
      <c r="F1340" t="s">
        <v>49</v>
      </c>
      <c r="G1340">
        <v>0.79307860136032104</v>
      </c>
      <c r="H1340" t="s">
        <v>50</v>
      </c>
      <c r="I1340">
        <v>0.7537727952003479</v>
      </c>
      <c r="J1340" t="s">
        <v>112</v>
      </c>
      <c r="K1340" s="4">
        <v>0.68572378158569336</v>
      </c>
      <c r="L1340" t="s">
        <v>3026</v>
      </c>
      <c r="M1340">
        <v>0.14777306000000001</v>
      </c>
      <c r="N1340" t="s">
        <v>1214</v>
      </c>
      <c r="O1340">
        <v>0.14567614000000001</v>
      </c>
      <c r="P1340" t="s">
        <v>1028</v>
      </c>
      <c r="Q1340" s="4">
        <v>0.116458915</v>
      </c>
      <c r="R1340" t="s">
        <v>175</v>
      </c>
      <c r="S1340">
        <v>0.13839841</v>
      </c>
      <c r="T1340" t="s">
        <v>261</v>
      </c>
      <c r="U1340">
        <v>0.12270497499999999</v>
      </c>
      <c r="V1340" t="s">
        <v>443</v>
      </c>
      <c r="W1340">
        <v>9.3366199999999996E-2</v>
      </c>
    </row>
    <row r="1341" spans="1:23" x14ac:dyDescent="0.25">
      <c r="A1341" s="3" t="str">
        <f>HYPERLINK("http://ids.si.edu/ids/deliveryService?id=NMAH-AHB2013q043409","NMAH-AHB2013q043409")</f>
        <v>NMAH-AHB2013q043409</v>
      </c>
      <c r="B1341" s="3" t="s">
        <v>3027</v>
      </c>
      <c r="C1341" s="3">
        <v>1437400</v>
      </c>
      <c r="D1341" s="3" t="s">
        <v>1716</v>
      </c>
      <c r="E1341" s="4" t="s">
        <v>1727</v>
      </c>
      <c r="F1341" t="s">
        <v>49</v>
      </c>
      <c r="G1341">
        <v>0.82445597648620605</v>
      </c>
      <c r="H1341" t="s">
        <v>50</v>
      </c>
      <c r="I1341">
        <v>0.7381446361541748</v>
      </c>
      <c r="J1341" t="s">
        <v>112</v>
      </c>
      <c r="K1341" s="4">
        <v>0.68572378158569336</v>
      </c>
      <c r="L1341" t="s">
        <v>273</v>
      </c>
      <c r="M1341">
        <v>0.14087920000000001</v>
      </c>
      <c r="N1341" t="s">
        <v>239</v>
      </c>
      <c r="O1341">
        <v>4.2023893E-2</v>
      </c>
      <c r="P1341" t="s">
        <v>430</v>
      </c>
      <c r="Q1341" s="4">
        <v>3.9152409999999999E-2</v>
      </c>
      <c r="R1341" t="s">
        <v>175</v>
      </c>
      <c r="S1341">
        <v>0.16909304</v>
      </c>
      <c r="T1341" t="s">
        <v>443</v>
      </c>
      <c r="U1341">
        <v>8.0376349999999999E-2</v>
      </c>
      <c r="V1341" t="s">
        <v>149</v>
      </c>
      <c r="W1341">
        <v>7.4816644000000002E-2</v>
      </c>
    </row>
    <row r="1342" spans="1:23" x14ac:dyDescent="0.25">
      <c r="A1342" s="3" t="str">
        <f>HYPERLINK("http://ids.si.edu/ids/deliveryService?id=NMAH-AHB2013q043949","NMAH-AHB2013q043949")</f>
        <v>NMAH-AHB2013q043949</v>
      </c>
      <c r="B1342" s="3" t="s">
        <v>3028</v>
      </c>
      <c r="C1342" s="3">
        <v>1437327</v>
      </c>
      <c r="D1342" s="3" t="s">
        <v>1716</v>
      </c>
      <c r="E1342" s="4" t="s">
        <v>1727</v>
      </c>
      <c r="F1342" t="s">
        <v>49</v>
      </c>
      <c r="G1342">
        <v>0.82081276178359985</v>
      </c>
      <c r="H1342" t="s">
        <v>525</v>
      </c>
      <c r="I1342">
        <v>0.74444133043289185</v>
      </c>
      <c r="J1342" t="s">
        <v>112</v>
      </c>
      <c r="K1342" s="4">
        <v>0.68572378158569336</v>
      </c>
      <c r="L1342" t="s">
        <v>336</v>
      </c>
      <c r="M1342">
        <v>0.60657309999999998</v>
      </c>
      <c r="N1342" t="s">
        <v>1728</v>
      </c>
      <c r="O1342">
        <v>3.1801227000000001E-2</v>
      </c>
      <c r="P1342" t="s">
        <v>369</v>
      </c>
      <c r="Q1342" s="4">
        <v>3.1226654E-2</v>
      </c>
      <c r="R1342" t="s">
        <v>336</v>
      </c>
      <c r="S1342">
        <v>0.48404142</v>
      </c>
      <c r="T1342" t="s">
        <v>369</v>
      </c>
      <c r="U1342">
        <v>9.629045E-2</v>
      </c>
      <c r="V1342" t="s">
        <v>159</v>
      </c>
      <c r="W1342">
        <v>9.5730990000000002E-2</v>
      </c>
    </row>
    <row r="1343" spans="1:23" x14ac:dyDescent="0.25">
      <c r="A1343" s="3" t="str">
        <f>HYPERLINK("http://ids.si.edu/ids/deliveryService?id=NMAH-AHB2013q044337","NMAH-AHB2013q044337")</f>
        <v>NMAH-AHB2013q044337</v>
      </c>
      <c r="B1343" s="3" t="s">
        <v>3029</v>
      </c>
      <c r="C1343" s="3">
        <v>1437363</v>
      </c>
      <c r="D1343" s="3" t="s">
        <v>1716</v>
      </c>
      <c r="E1343" s="4" t="s">
        <v>1763</v>
      </c>
      <c r="F1343" t="s">
        <v>49</v>
      </c>
      <c r="G1343">
        <v>0.83365321159362793</v>
      </c>
      <c r="H1343" t="s">
        <v>1757</v>
      </c>
      <c r="I1343">
        <v>0.81224530935287476</v>
      </c>
      <c r="J1343" t="s">
        <v>50</v>
      </c>
      <c r="K1343" s="4">
        <v>0.6591346263885498</v>
      </c>
      <c r="L1343" t="s">
        <v>336</v>
      </c>
      <c r="M1343">
        <v>0.99604020000000004</v>
      </c>
      <c r="N1343" t="s">
        <v>544</v>
      </c>
      <c r="O1343">
        <v>1.6746338000000001E-3</v>
      </c>
      <c r="P1343" t="s">
        <v>149</v>
      </c>
      <c r="Q1343" s="4">
        <v>1.1954527999999999E-3</v>
      </c>
      <c r="R1343" t="s">
        <v>336</v>
      </c>
      <c r="S1343">
        <v>0.95535755</v>
      </c>
      <c r="T1343" t="s">
        <v>175</v>
      </c>
      <c r="U1343">
        <v>1.3892191999999999E-2</v>
      </c>
      <c r="V1343" t="s">
        <v>148</v>
      </c>
      <c r="W1343">
        <v>9.4894130000000004E-3</v>
      </c>
    </row>
    <row r="1344" spans="1:23" x14ac:dyDescent="0.25">
      <c r="A1344" s="3" t="str">
        <f>HYPERLINK("http://ids.si.edu/ids/deliveryService?id=NMAH-AHB2013q043331","NMAH-AHB2013q043331")</f>
        <v>NMAH-AHB2013q043331</v>
      </c>
      <c r="B1344" s="3" t="s">
        <v>3030</v>
      </c>
      <c r="C1344" s="3">
        <v>1437618</v>
      </c>
      <c r="D1344" s="3" t="s">
        <v>1716</v>
      </c>
      <c r="E1344" s="4" t="s">
        <v>1319</v>
      </c>
      <c r="F1344" t="s">
        <v>49</v>
      </c>
      <c r="G1344">
        <v>0.81447571516036987</v>
      </c>
      <c r="H1344" t="s">
        <v>50</v>
      </c>
      <c r="I1344">
        <v>0.60706108808517456</v>
      </c>
      <c r="J1344" t="s">
        <v>178</v>
      </c>
      <c r="K1344" s="4">
        <v>0.5937383770942688</v>
      </c>
      <c r="L1344" t="s">
        <v>336</v>
      </c>
      <c r="M1344">
        <v>0.75928830000000003</v>
      </c>
      <c r="N1344" t="s">
        <v>149</v>
      </c>
      <c r="O1344">
        <v>4.6739620000000003E-2</v>
      </c>
      <c r="P1344" t="s">
        <v>152</v>
      </c>
      <c r="Q1344" s="4">
        <v>2.0003999000000001E-2</v>
      </c>
      <c r="R1344" t="s">
        <v>813</v>
      </c>
      <c r="S1344">
        <v>0.94283609999999984</v>
      </c>
      <c r="T1344" t="s">
        <v>369</v>
      </c>
      <c r="U1344">
        <v>1.0253007999999999E-2</v>
      </c>
      <c r="V1344" t="s">
        <v>31</v>
      </c>
      <c r="W1344">
        <v>5.1928214000000004E-3</v>
      </c>
    </row>
    <row r="1345" spans="1:23" x14ac:dyDescent="0.25">
      <c r="A1345" s="3" t="str">
        <f>HYPERLINK("http://ids.si.edu/ids/deliveryService?id=NMAH-AHB2013q044606","NMAH-AHB2013q044606")</f>
        <v>NMAH-AHB2013q044606</v>
      </c>
      <c r="B1345" s="3" t="s">
        <v>3031</v>
      </c>
      <c r="C1345" s="3">
        <v>1438281</v>
      </c>
      <c r="D1345" s="3" t="s">
        <v>1716</v>
      </c>
      <c r="E1345" s="4" t="s">
        <v>1731</v>
      </c>
      <c r="F1345" t="s">
        <v>112</v>
      </c>
      <c r="G1345">
        <v>0.68572378158569336</v>
      </c>
      <c r="H1345" t="s">
        <v>3032</v>
      </c>
      <c r="I1345">
        <v>0.55998134613037109</v>
      </c>
      <c r="J1345" t="s">
        <v>50</v>
      </c>
      <c r="K1345" s="4">
        <v>0.5114516019821167</v>
      </c>
      <c r="L1345" t="s">
        <v>336</v>
      </c>
      <c r="M1345">
        <v>0.79232000000000002</v>
      </c>
      <c r="N1345" t="s">
        <v>700</v>
      </c>
      <c r="O1345">
        <v>2.2027494000000002E-2</v>
      </c>
      <c r="P1345" t="s">
        <v>619</v>
      </c>
      <c r="Q1345" s="4">
        <v>1.8073147000000001E-2</v>
      </c>
      <c r="R1345" t="s">
        <v>765</v>
      </c>
      <c r="S1345">
        <v>0.17803316</v>
      </c>
      <c r="T1345" t="s">
        <v>31</v>
      </c>
      <c r="U1345">
        <v>0.12673792</v>
      </c>
      <c r="V1345" t="s">
        <v>239</v>
      </c>
      <c r="W1345">
        <v>5.9389703000000002E-2</v>
      </c>
    </row>
    <row r="1346" spans="1:23" x14ac:dyDescent="0.25">
      <c r="A1346" s="3" t="str">
        <f>HYPERLINK("http://ids.si.edu/ids/deliveryService?id=NMAH-AHB2013q043417","NMAH-AHB2013q043417")</f>
        <v>NMAH-AHB2013q043417</v>
      </c>
      <c r="B1346" s="3" t="s">
        <v>3033</v>
      </c>
      <c r="C1346" s="3">
        <v>1437406</v>
      </c>
      <c r="D1346" s="3" t="s">
        <v>1716</v>
      </c>
      <c r="E1346" s="4" t="s">
        <v>1727</v>
      </c>
      <c r="F1346" t="s">
        <v>1016</v>
      </c>
      <c r="G1346">
        <v>0.6991998553276062</v>
      </c>
      <c r="H1346" t="s">
        <v>196</v>
      </c>
      <c r="I1346">
        <v>0.66888242959976196</v>
      </c>
      <c r="J1346" t="s">
        <v>49</v>
      </c>
      <c r="K1346" s="4">
        <v>0.61568379402160645</v>
      </c>
      <c r="L1346" t="s">
        <v>149</v>
      </c>
      <c r="M1346">
        <v>0.71953240000000007</v>
      </c>
      <c r="N1346" t="s">
        <v>1338</v>
      </c>
      <c r="O1346">
        <v>5.2712771999999998E-2</v>
      </c>
      <c r="P1346" t="s">
        <v>170</v>
      </c>
      <c r="Q1346" s="4">
        <v>2.7997635E-2</v>
      </c>
      <c r="R1346" t="s">
        <v>149</v>
      </c>
      <c r="S1346">
        <v>0.29700670000000001</v>
      </c>
      <c r="T1346" t="s">
        <v>336</v>
      </c>
      <c r="U1346">
        <v>6.6385169999999993E-2</v>
      </c>
      <c r="V1346" t="s">
        <v>170</v>
      </c>
      <c r="W1346">
        <v>4.2907599999999997E-2</v>
      </c>
    </row>
    <row r="1347" spans="1:23" x14ac:dyDescent="0.25">
      <c r="A1347" s="3" t="str">
        <f>HYPERLINK("http://ids.si.edu/ids/deliveryService?id=NMAH-AHB2013q044198","NMAH-AHB2013q044198")</f>
        <v>NMAH-AHB2013q044198</v>
      </c>
      <c r="B1347" s="3" t="s">
        <v>3034</v>
      </c>
      <c r="C1347" s="3">
        <v>1437626</v>
      </c>
      <c r="D1347" s="3" t="s">
        <v>1716</v>
      </c>
      <c r="E1347" s="4" t="s">
        <v>1727</v>
      </c>
      <c r="F1347" t="s">
        <v>112</v>
      </c>
      <c r="G1347">
        <v>0.74956268072128296</v>
      </c>
      <c r="H1347" t="s">
        <v>50</v>
      </c>
      <c r="I1347">
        <v>0.6591346263885498</v>
      </c>
      <c r="J1347" t="s">
        <v>49</v>
      </c>
      <c r="K1347" s="4">
        <v>0.63302761316299438</v>
      </c>
      <c r="L1347" t="s">
        <v>336</v>
      </c>
      <c r="M1347">
        <v>0.95055509999999999</v>
      </c>
      <c r="N1347" t="s">
        <v>149</v>
      </c>
      <c r="O1347">
        <v>1.5571662999999999E-2</v>
      </c>
      <c r="P1347" t="s">
        <v>259</v>
      </c>
      <c r="Q1347" s="4">
        <v>3.8458310000000001E-3</v>
      </c>
      <c r="R1347" t="s">
        <v>93</v>
      </c>
      <c r="S1347">
        <v>0.21749494999999999</v>
      </c>
      <c r="T1347" t="s">
        <v>239</v>
      </c>
      <c r="U1347">
        <v>0.21436246</v>
      </c>
      <c r="V1347" t="s">
        <v>149</v>
      </c>
      <c r="W1347">
        <v>0.14286252999999999</v>
      </c>
    </row>
    <row r="1348" spans="1:23" x14ac:dyDescent="0.25">
      <c r="A1348" s="3" t="str">
        <f>HYPERLINK("http://ids.si.edu/ids/deliveryService?id=NMAH-AHB2013q044511","NMAH-AHB2013q044511")</f>
        <v>NMAH-AHB2013q044511</v>
      </c>
      <c r="B1348" s="3" t="s">
        <v>3035</v>
      </c>
      <c r="C1348" s="3">
        <v>1438102</v>
      </c>
      <c r="D1348" s="3" t="s">
        <v>1716</v>
      </c>
      <c r="E1348" s="4" t="s">
        <v>1727</v>
      </c>
      <c r="F1348" t="s">
        <v>112</v>
      </c>
      <c r="G1348">
        <v>0.68572378158569336</v>
      </c>
      <c r="H1348" t="s">
        <v>196</v>
      </c>
      <c r="I1348">
        <v>0.65323799848556519</v>
      </c>
      <c r="J1348" t="s">
        <v>90</v>
      </c>
      <c r="K1348" s="4">
        <v>0.61177396774291992</v>
      </c>
      <c r="L1348" t="s">
        <v>336</v>
      </c>
      <c r="M1348">
        <v>0.22390478999999999</v>
      </c>
      <c r="N1348" t="s">
        <v>369</v>
      </c>
      <c r="O1348">
        <v>0.11930694999999999</v>
      </c>
      <c r="P1348" t="s">
        <v>1099</v>
      </c>
      <c r="Q1348" s="4">
        <v>4.9708570000000001E-2</v>
      </c>
      <c r="R1348" t="s">
        <v>175</v>
      </c>
      <c r="S1348">
        <v>5.7923004000000007E-2</v>
      </c>
      <c r="T1348" t="s">
        <v>44</v>
      </c>
      <c r="U1348">
        <v>3.7894169999999998E-2</v>
      </c>
      <c r="V1348" t="s">
        <v>156</v>
      </c>
      <c r="W1348">
        <v>3.5632174000000003E-2</v>
      </c>
    </row>
    <row r="1349" spans="1:23" x14ac:dyDescent="0.25">
      <c r="A1349" s="3" t="str">
        <f>HYPERLINK("http://ids.si.edu/ids/deliveryService?id=NMAH-AHB2013q043381","NMAH-AHB2013q043381")</f>
        <v>NMAH-AHB2013q043381</v>
      </c>
      <c r="B1349" s="3" t="s">
        <v>3036</v>
      </c>
      <c r="C1349" s="3">
        <v>1437750</v>
      </c>
      <c r="D1349" s="3" t="s">
        <v>1716</v>
      </c>
      <c r="E1349" s="4" t="s">
        <v>3037</v>
      </c>
      <c r="F1349" t="s">
        <v>112</v>
      </c>
      <c r="G1349">
        <v>0.74956268072128296</v>
      </c>
      <c r="H1349" t="s">
        <v>196</v>
      </c>
      <c r="I1349">
        <v>0.66888242959976196</v>
      </c>
      <c r="J1349" t="s">
        <v>256</v>
      </c>
      <c r="K1349" s="4">
        <v>0.59585320949554443</v>
      </c>
      <c r="L1349" t="s">
        <v>149</v>
      </c>
      <c r="M1349">
        <v>0.88558537000000004</v>
      </c>
      <c r="N1349" t="s">
        <v>1099</v>
      </c>
      <c r="O1349">
        <v>1.4238468000000001E-2</v>
      </c>
      <c r="P1349" t="s">
        <v>1052</v>
      </c>
      <c r="Q1349" s="4">
        <v>1.0132049000000001E-2</v>
      </c>
      <c r="R1349" t="s">
        <v>149</v>
      </c>
      <c r="S1349">
        <v>0.94726690000000002</v>
      </c>
      <c r="T1349" t="s">
        <v>369</v>
      </c>
      <c r="U1349">
        <v>4.8363293E-3</v>
      </c>
      <c r="V1349" t="s">
        <v>175</v>
      </c>
      <c r="W1349">
        <v>3.5488664E-3</v>
      </c>
    </row>
    <row r="1350" spans="1:23" x14ac:dyDescent="0.25">
      <c r="A1350" s="3" t="str">
        <f>HYPERLINK("http://ids.si.edu/ids/deliveryService?id=SIA-2004-10204-10-000004","SIA-2004-10204-10-000004")</f>
        <v>SIA-2004-10204-10-000004</v>
      </c>
      <c r="B1350" s="3" t="s">
        <v>3038</v>
      </c>
      <c r="C1350" s="3">
        <v>844465</v>
      </c>
      <c r="D1350" s="3" t="s">
        <v>1716</v>
      </c>
      <c r="E1350" s="4" t="s">
        <v>3039</v>
      </c>
      <c r="F1350" t="s">
        <v>101</v>
      </c>
      <c r="G1350">
        <v>0.91949301958084106</v>
      </c>
      <c r="H1350" t="s">
        <v>3040</v>
      </c>
      <c r="I1350">
        <v>0.87921202182769775</v>
      </c>
      <c r="J1350" t="s">
        <v>103</v>
      </c>
      <c r="K1350" s="4">
        <v>0.87440329790115356</v>
      </c>
      <c r="L1350" t="s">
        <v>357</v>
      </c>
      <c r="M1350">
        <v>0.66172159999999991</v>
      </c>
      <c r="N1350" t="s">
        <v>106</v>
      </c>
      <c r="O1350">
        <v>0.24351387999999999</v>
      </c>
      <c r="P1350" t="s">
        <v>107</v>
      </c>
      <c r="Q1350" s="4">
        <v>5.7936445000000003E-2</v>
      </c>
      <c r="R1350" t="s">
        <v>357</v>
      </c>
      <c r="S1350">
        <v>0.42972769999999999</v>
      </c>
      <c r="T1350" t="s">
        <v>106</v>
      </c>
      <c r="U1350">
        <v>0.25984138000000001</v>
      </c>
      <c r="V1350" t="s">
        <v>107</v>
      </c>
      <c r="W1350">
        <v>0.117751114</v>
      </c>
    </row>
    <row r="1351" spans="1:23" x14ac:dyDescent="0.25">
      <c r="A1351" s="3" t="str">
        <f>HYPERLINK("http://ids.si.edu/ids/deliveryService?id=NMAH-AHB2013q045031","NMAH-AHB2013q045031")</f>
        <v>NMAH-AHB2013q045031</v>
      </c>
      <c r="B1351" s="3" t="s">
        <v>3041</v>
      </c>
      <c r="C1351" s="3">
        <v>1438502</v>
      </c>
      <c r="D1351" s="3" t="s">
        <v>1716</v>
      </c>
      <c r="E1351" s="4" t="s">
        <v>1761</v>
      </c>
      <c r="F1351" t="s">
        <v>61</v>
      </c>
      <c r="G1351">
        <v>0.90306717157363892</v>
      </c>
      <c r="H1351" t="s">
        <v>112</v>
      </c>
      <c r="I1351">
        <v>0.84902584552764893</v>
      </c>
      <c r="J1351" t="s">
        <v>196</v>
      </c>
      <c r="K1351" s="4">
        <v>0.82315868139266968</v>
      </c>
      <c r="L1351" t="s">
        <v>444</v>
      </c>
      <c r="M1351">
        <v>0.19452763000000001</v>
      </c>
      <c r="N1351" t="s">
        <v>2552</v>
      </c>
      <c r="O1351">
        <v>3.8108096000000001E-2</v>
      </c>
      <c r="P1351" t="s">
        <v>1260</v>
      </c>
      <c r="Q1351" s="4">
        <v>2.6088703000000001E-2</v>
      </c>
      <c r="R1351" t="s">
        <v>149</v>
      </c>
      <c r="S1351">
        <v>0.32572057999999998</v>
      </c>
      <c r="T1351" t="s">
        <v>444</v>
      </c>
      <c r="U1351">
        <v>6.9153435999999999E-2</v>
      </c>
      <c r="V1351" t="s">
        <v>369</v>
      </c>
      <c r="W1351">
        <v>3.5097719999999999E-2</v>
      </c>
    </row>
    <row r="1352" spans="1:23" x14ac:dyDescent="0.25">
      <c r="A1352" s="3" t="str">
        <f>HYPERLINK("http://ids.si.edu/ids/deliveryService?id=SIA-2003-19286","SIA-2003-19286")</f>
        <v>SIA-2003-19286</v>
      </c>
      <c r="B1352" s="3" t="s">
        <v>3042</v>
      </c>
      <c r="C1352" s="3">
        <v>706530</v>
      </c>
      <c r="D1352" s="3" t="s">
        <v>1716</v>
      </c>
      <c r="E1352" s="4" t="s">
        <v>2893</v>
      </c>
      <c r="F1352" t="s">
        <v>256</v>
      </c>
      <c r="G1352">
        <v>0.69171404838562012</v>
      </c>
      <c r="H1352" t="s">
        <v>50</v>
      </c>
      <c r="I1352">
        <v>0.60706108808517456</v>
      </c>
      <c r="J1352" t="s">
        <v>636</v>
      </c>
      <c r="K1352" s="4">
        <v>0.58996987342834473</v>
      </c>
      <c r="L1352" t="s">
        <v>150</v>
      </c>
      <c r="M1352">
        <v>0.12591574</v>
      </c>
      <c r="N1352" t="s">
        <v>1236</v>
      </c>
      <c r="O1352">
        <v>7.6527885999999989E-2</v>
      </c>
      <c r="P1352" t="s">
        <v>397</v>
      </c>
      <c r="Q1352" s="4">
        <v>6.8379199999999987E-2</v>
      </c>
      <c r="R1352" t="s">
        <v>175</v>
      </c>
      <c r="S1352">
        <v>0.31669244000000002</v>
      </c>
      <c r="T1352" t="s">
        <v>1584</v>
      </c>
      <c r="U1352">
        <v>3.3905850000000001E-2</v>
      </c>
      <c r="V1352" t="s">
        <v>141</v>
      </c>
      <c r="W1352">
        <v>3.3511855E-2</v>
      </c>
    </row>
    <row r="1353" spans="1:23" x14ac:dyDescent="0.25">
      <c r="A1353" s="3" t="str">
        <f>HYPERLINK("http://ids.si.edu/ids/deliveryService?id=NMAH-AHB2006q21369","NMAH-AHB2006q21369")</f>
        <v>NMAH-AHB2006q21369</v>
      </c>
      <c r="B1353" s="3" t="s">
        <v>3043</v>
      </c>
      <c r="C1353" s="3">
        <v>881798</v>
      </c>
      <c r="D1353" s="3" t="s">
        <v>1716</v>
      </c>
      <c r="E1353" s="4" t="s">
        <v>3044</v>
      </c>
      <c r="F1353" t="s">
        <v>1150</v>
      </c>
      <c r="G1353">
        <v>0.76339858770370483</v>
      </c>
      <c r="H1353" t="s">
        <v>1399</v>
      </c>
      <c r="I1353">
        <v>0.57474064826965332</v>
      </c>
      <c r="L1353" t="s">
        <v>442</v>
      </c>
      <c r="M1353">
        <v>0.56175769999999992</v>
      </c>
      <c r="N1353" t="s">
        <v>93</v>
      </c>
      <c r="O1353">
        <v>6.2826246000000002E-2</v>
      </c>
      <c r="P1353" t="s">
        <v>51</v>
      </c>
      <c r="Q1353" s="4">
        <v>5.9457969999999999E-2</v>
      </c>
      <c r="R1353" t="s">
        <v>313</v>
      </c>
      <c r="S1353">
        <v>0.54955419999999999</v>
      </c>
      <c r="T1353" t="s">
        <v>804</v>
      </c>
      <c r="U1353">
        <v>0.16991906000000001</v>
      </c>
      <c r="V1353" t="s">
        <v>379</v>
      </c>
      <c r="W1353">
        <v>5.842729E-2</v>
      </c>
    </row>
    <row r="1354" spans="1:23" x14ac:dyDescent="0.25">
      <c r="A1354" s="3" t="str">
        <f>HYPERLINK("http://ids.si.edu/ids/deliveryService?id=NMAH-90-14476","NMAH-90-14476")</f>
        <v>NMAH-90-14476</v>
      </c>
      <c r="B1354" s="3" t="s">
        <v>3045</v>
      </c>
      <c r="C1354" s="3">
        <v>852606</v>
      </c>
      <c r="D1354" s="3" t="s">
        <v>1716</v>
      </c>
      <c r="E1354" s="4" t="s">
        <v>2955</v>
      </c>
      <c r="F1354" t="s">
        <v>1372</v>
      </c>
      <c r="G1354">
        <v>0.99210822582244873</v>
      </c>
      <c r="H1354" t="s">
        <v>2796</v>
      </c>
      <c r="I1354">
        <v>0.97318917512893677</v>
      </c>
      <c r="J1354" t="s">
        <v>2721</v>
      </c>
      <c r="K1354" s="4">
        <v>0.8139268159866333</v>
      </c>
      <c r="L1354" t="s">
        <v>1184</v>
      </c>
      <c r="M1354">
        <v>0.25969175</v>
      </c>
      <c r="N1354" t="s">
        <v>31</v>
      </c>
      <c r="O1354">
        <v>0.24193953000000001</v>
      </c>
      <c r="P1354" t="s">
        <v>183</v>
      </c>
      <c r="Q1354" s="4">
        <v>0.23647570000000001</v>
      </c>
      <c r="R1354" t="s">
        <v>1184</v>
      </c>
      <c r="S1354">
        <v>0.60827489999999995</v>
      </c>
      <c r="T1354" t="s">
        <v>261</v>
      </c>
      <c r="U1354">
        <v>0.16632198000000001</v>
      </c>
      <c r="V1354" t="s">
        <v>183</v>
      </c>
      <c r="W1354">
        <v>4.6236489999999998E-2</v>
      </c>
    </row>
    <row r="1355" spans="1:23" x14ac:dyDescent="0.25">
      <c r="A1355" s="3" t="str">
        <f>HYPERLINK("http://ids.si.edu/ids/deliveryService?id=NMAH-AHB2013q044200","NMAH-AHB2013q044200")</f>
        <v>NMAH-AHB2013q044200</v>
      </c>
      <c r="B1355" s="3" t="s">
        <v>3046</v>
      </c>
      <c r="C1355" s="3">
        <v>1437632</v>
      </c>
      <c r="D1355" s="3" t="s">
        <v>1716</v>
      </c>
      <c r="E1355" s="4" t="s">
        <v>1727</v>
      </c>
      <c r="F1355" t="s">
        <v>132</v>
      </c>
      <c r="G1355">
        <v>0.83633017539978027</v>
      </c>
      <c r="H1355" t="s">
        <v>1774</v>
      </c>
      <c r="I1355">
        <v>0.83200711011886597</v>
      </c>
      <c r="J1355" t="s">
        <v>38</v>
      </c>
      <c r="K1355" s="4">
        <v>0.69962191581726074</v>
      </c>
      <c r="L1355" t="s">
        <v>149</v>
      </c>
      <c r="M1355">
        <v>0.69838774000000003</v>
      </c>
      <c r="N1355" t="s">
        <v>63</v>
      </c>
      <c r="O1355">
        <v>2.8227466999999999E-2</v>
      </c>
      <c r="P1355" t="s">
        <v>1052</v>
      </c>
      <c r="Q1355" s="4">
        <v>2.1982074000000001E-2</v>
      </c>
      <c r="R1355" t="s">
        <v>336</v>
      </c>
      <c r="S1355">
        <v>0.33095783000000001</v>
      </c>
      <c r="T1355" t="s">
        <v>149</v>
      </c>
      <c r="U1355">
        <v>0.17449886000000001</v>
      </c>
      <c r="V1355" t="s">
        <v>93</v>
      </c>
      <c r="W1355">
        <v>0.14274026000000001</v>
      </c>
    </row>
    <row r="1356" spans="1:23" x14ac:dyDescent="0.25">
      <c r="A1356" s="3" t="str">
        <f>HYPERLINK("http://ids.si.edu/ids/deliveryService?id=NMAH-NMAH2005-18423-000001","NMAH-NMAH2005-18423-000001")</f>
        <v>NMAH-NMAH2005-18423-000001</v>
      </c>
      <c r="B1356" s="3" t="s">
        <v>3047</v>
      </c>
      <c r="C1356" s="3">
        <v>1288388</v>
      </c>
      <c r="D1356" s="3" t="s">
        <v>1716</v>
      </c>
      <c r="E1356" s="4" t="s">
        <v>3048</v>
      </c>
      <c r="F1356" t="s">
        <v>3049</v>
      </c>
      <c r="G1356">
        <v>0.73415493965148926</v>
      </c>
      <c r="H1356" t="s">
        <v>1150</v>
      </c>
      <c r="I1356">
        <v>0.57592505216598511</v>
      </c>
      <c r="L1356" t="s">
        <v>878</v>
      </c>
      <c r="M1356">
        <v>0.21510172999999999</v>
      </c>
      <c r="N1356" t="s">
        <v>571</v>
      </c>
      <c r="O1356">
        <v>0.20809322999999999</v>
      </c>
      <c r="P1356" t="s">
        <v>2084</v>
      </c>
      <c r="Q1356" s="4">
        <v>0.14481656000000001</v>
      </c>
      <c r="R1356" t="s">
        <v>2084</v>
      </c>
      <c r="S1356">
        <v>0.28021639999999998</v>
      </c>
      <c r="T1356" t="s">
        <v>571</v>
      </c>
      <c r="U1356">
        <v>0.12778543000000001</v>
      </c>
      <c r="V1356" t="s">
        <v>225</v>
      </c>
      <c r="W1356">
        <v>6.7283620000000002E-2</v>
      </c>
    </row>
    <row r="1357" spans="1:23" x14ac:dyDescent="0.25">
      <c r="A1357" s="3" t="str">
        <f>HYPERLINK("http://ids.si.edu/ids/deliveryService?id=NMAH-RWS2011-03613","NMAH-RWS2011-03613")</f>
        <v>NMAH-RWS2011-03613</v>
      </c>
      <c r="B1357" s="3" t="s">
        <v>3050</v>
      </c>
      <c r="C1357" s="3">
        <v>852778</v>
      </c>
      <c r="D1357" s="3" t="s">
        <v>1716</v>
      </c>
      <c r="E1357" s="4" t="s">
        <v>3051</v>
      </c>
      <c r="F1357" t="s">
        <v>748</v>
      </c>
      <c r="G1357">
        <v>0.74791163206100464</v>
      </c>
      <c r="H1357" t="s">
        <v>1003</v>
      </c>
      <c r="I1357">
        <v>0.70876067876815796</v>
      </c>
      <c r="J1357" t="s">
        <v>800</v>
      </c>
      <c r="K1357" s="4">
        <v>0.5311163067817688</v>
      </c>
      <c r="L1357" t="s">
        <v>258</v>
      </c>
      <c r="M1357">
        <v>0.21362844</v>
      </c>
      <c r="N1357" t="s">
        <v>149</v>
      </c>
      <c r="O1357">
        <v>0.16929485</v>
      </c>
      <c r="P1357" t="s">
        <v>529</v>
      </c>
      <c r="Q1357" s="4">
        <v>5.6304667000000003E-2</v>
      </c>
      <c r="R1357" t="s">
        <v>529</v>
      </c>
      <c r="S1357">
        <v>9.5717183999999997E-2</v>
      </c>
      <c r="T1357" t="s">
        <v>149</v>
      </c>
      <c r="U1357">
        <v>6.7137420000000003E-2</v>
      </c>
      <c r="V1357" t="s">
        <v>258</v>
      </c>
      <c r="W1357">
        <v>5.1155939999999997E-2</v>
      </c>
    </row>
    <row r="1358" spans="1:23" x14ac:dyDescent="0.25">
      <c r="A1358" s="3" t="str">
        <f>HYPERLINK("http://ids.si.edu/ids/deliveryService?id=NMAH-2007-13332","NMAH-2007-13332")</f>
        <v>NMAH-2007-13332</v>
      </c>
      <c r="B1358" s="3" t="s">
        <v>3052</v>
      </c>
      <c r="C1358" s="3">
        <v>841602</v>
      </c>
      <c r="D1358" s="3" t="s">
        <v>1716</v>
      </c>
      <c r="E1358" s="4" t="s">
        <v>3053</v>
      </c>
      <c r="F1358" t="s">
        <v>91</v>
      </c>
      <c r="G1358">
        <v>0.93479853868484497</v>
      </c>
      <c r="H1358" t="s">
        <v>271</v>
      </c>
      <c r="I1358">
        <v>0.91184282302856445</v>
      </c>
      <c r="J1358" t="s">
        <v>892</v>
      </c>
      <c r="K1358" s="4">
        <v>0.87301456928253174</v>
      </c>
      <c r="L1358" t="s">
        <v>853</v>
      </c>
      <c r="M1358">
        <v>0.16708770000000001</v>
      </c>
      <c r="N1358" t="s">
        <v>821</v>
      </c>
      <c r="O1358">
        <v>9.3684359999999994E-2</v>
      </c>
      <c r="P1358" t="s">
        <v>764</v>
      </c>
      <c r="Q1358" s="4">
        <v>7.5724280000000005E-2</v>
      </c>
      <c r="R1358" t="s">
        <v>853</v>
      </c>
      <c r="S1358">
        <v>0.25417823</v>
      </c>
      <c r="T1358" t="s">
        <v>98</v>
      </c>
      <c r="U1358">
        <v>0.24465047000000001</v>
      </c>
      <c r="V1358" t="s">
        <v>1013</v>
      </c>
      <c r="W1358">
        <v>8.7946590000000005E-2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Trizna, Mike</cp:lastModifiedBy>
  <dcterms:created xsi:type="dcterms:W3CDTF">2019-06-19T15:16:47Z</dcterms:created>
  <dcterms:modified xsi:type="dcterms:W3CDTF">2019-06-19T19:20:46Z</dcterms:modified>
</cp:coreProperties>
</file>