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M:\Investor Relations\Earnings\2024\Q22024\Excel Workbook\"/>
    </mc:Choice>
  </mc:AlternateContent>
  <xr:revisionPtr revIDLastSave="0" documentId="13_ncr:1_{012925F9-ABB3-4041-A568-DCE3B03E091F}" xr6:coauthVersionLast="47" xr6:coauthVersionMax="47" xr10:uidLastSave="{00000000-0000-0000-0000-000000000000}"/>
  <bookViews>
    <workbookView xWindow="-110" yWindow="-110" windowWidth="25820" windowHeight="14020" tabRatio="696" xr2:uid="{00000000-000D-0000-FFFF-FFFF00000000}"/>
  </bookViews>
  <sheets>
    <sheet name="About" sheetId="33" r:id="rId1"/>
    <sheet name="Income Statement" sheetId="1" r:id="rId2"/>
    <sheet name="Reconciliation" sheetId="25" r:id="rId3"/>
    <sheet name="Balance Sheet" sheetId="28" r:id="rId4"/>
    <sheet name="Cash Flows Cumulative" sheetId="27" r:id="rId5"/>
    <sheet name="Cash Flows" sheetId="32" r:id="rId6"/>
    <sheet name="Key Metrics" sheetId="29" r:id="rId7"/>
  </sheets>
  <definedNames>
    <definedName name="five" hidden="1">{"Landscape Detail CF",#N/A,FALSE,"Cash Flow for the 3 m-e 8.31";"Portrait Detail CF",#N/A,FALSE,"Cash Flow for the 3 m-e 8.31"}</definedName>
    <definedName name="four" hidden="1">{"Landscape Detail CF",#N/A,FALSE,"Cash Flow for the 3 m-e 8.31";"Portrait Detail CF",#N/A,FALSE,"Cash Flow for the 3 m-e 8.31"}</definedName>
    <definedName name="_xlnm.Print_Area" localSheetId="3">'Balance Sheet'!$A$1:$CR$71</definedName>
    <definedName name="_xlnm.Print_Area" localSheetId="5">'Cash Flows'!$A$1:$CR$68</definedName>
    <definedName name="_xlnm.Print_Area" localSheetId="4">'Cash Flows Cumulative'!$A$1:$CR$68</definedName>
    <definedName name="_xlnm.Print_Area" localSheetId="1">'Income Statement'!$A$1:$CR$63</definedName>
    <definedName name="_xlnm.Print_Area" localSheetId="6">'Key Metrics'!$A$1:$CR$113</definedName>
    <definedName name="_xlnm.Print_Area" localSheetId="2">Reconciliation!$A$1:$CR$36</definedName>
    <definedName name="three" hidden="1">{"Landscape Detail CF",#N/A,FALSE,"Cash Flow for the 3 m-e 8.31";"Portrait Detail CF",#N/A,FALSE,"Cash Flow for the 3 m-e 8.31"}</definedName>
    <definedName name="two" hidden="1">{"Landscape Detail CF",#N/A,FALSE,"Cash Flow for the 3 m-e 8.31";"Portrait Detail CF",#N/A,FALSE,"Cash Flow for the 3 m-e 8.31"}</definedName>
    <definedName name="wrn.Three._.Months._.Cash._.Flow." hidden="1">{"Landscape Detail CF",#N/A,FALSE,"Cash Flow for the 3 m-e 8.31";"Portrait Detail CF",#N/A,FALSE,"Cash Flow for the 3 m-e 8.31"}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54" i="1" l="1"/>
  <c r="CO53" i="1"/>
  <c r="CR65" i="32"/>
  <c r="CN35" i="27"/>
  <c r="CN53" i="27" s="1"/>
  <c r="CN49" i="27"/>
  <c r="CN6" i="27"/>
  <c r="CO56" i="32" l="1"/>
  <c r="CO47" i="32"/>
  <c r="CO48" i="32"/>
  <c r="CO46" i="32"/>
  <c r="CO67" i="27" l="1"/>
  <c r="CR68" i="29" l="1"/>
  <c r="CR67" i="27"/>
  <c r="CR66" i="27"/>
  <c r="CR64" i="27"/>
  <c r="CR61" i="27"/>
  <c r="CR60" i="27"/>
  <c r="CR56" i="27"/>
  <c r="CR55" i="27"/>
  <c r="CR57" i="27" s="1"/>
  <c r="CR54" i="27"/>
  <c r="CR53" i="27"/>
  <c r="CR51" i="27"/>
  <c r="CR49" i="27"/>
  <c r="CR48" i="27"/>
  <c r="CR47" i="27"/>
  <c r="CR46" i="27"/>
  <c r="CR45" i="27"/>
  <c r="CR44" i="27"/>
  <c r="CR43" i="27"/>
  <c r="CR42" i="27"/>
  <c r="CR41" i="27"/>
  <c r="CR40" i="27"/>
  <c r="CR39" i="27"/>
  <c r="CR38" i="27"/>
  <c r="CR35" i="27"/>
  <c r="CR34" i="27"/>
  <c r="CR33" i="27"/>
  <c r="CR32" i="27"/>
  <c r="CR31" i="27"/>
  <c r="CR30" i="27"/>
  <c r="CR29" i="27"/>
  <c r="CR28" i="27"/>
  <c r="CR27" i="27"/>
  <c r="CR24" i="27"/>
  <c r="CR23" i="27"/>
  <c r="CR22" i="27"/>
  <c r="CR21" i="27"/>
  <c r="CR20" i="27"/>
  <c r="CR19" i="27"/>
  <c r="CR18" i="27"/>
  <c r="CR16" i="27"/>
  <c r="CR15" i="27"/>
  <c r="CR14" i="27"/>
  <c r="CR13" i="27"/>
  <c r="CR12" i="27"/>
  <c r="CR11" i="27"/>
  <c r="CR10" i="27"/>
  <c r="CR9" i="27"/>
  <c r="CR8" i="27"/>
  <c r="CR6" i="27"/>
  <c r="CR62" i="28"/>
  <c r="CR61" i="28"/>
  <c r="CR60" i="28"/>
  <c r="CR59" i="28"/>
  <c r="CR58" i="28"/>
  <c r="CR50" i="28"/>
  <c r="CR49" i="28"/>
  <c r="CR48" i="28"/>
  <c r="CR47" i="28"/>
  <c r="CR46" i="28"/>
  <c r="CR45" i="28"/>
  <c r="CR44" i="28"/>
  <c r="CR41" i="28"/>
  <c r="CR39" i="28"/>
  <c r="CR38" i="28"/>
  <c r="CR37" i="28"/>
  <c r="CR35" i="28"/>
  <c r="CR34" i="28"/>
  <c r="CR33" i="28"/>
  <c r="CR32" i="28"/>
  <c r="CR31" i="28"/>
  <c r="CR30" i="28"/>
  <c r="CR29" i="28"/>
  <c r="CR28" i="28"/>
  <c r="CR27" i="28"/>
  <c r="CR23" i="28"/>
  <c r="CR22" i="28"/>
  <c r="CR21" i="28"/>
  <c r="CR20" i="28"/>
  <c r="CR19" i="28"/>
  <c r="CR18" i="28"/>
  <c r="CR16" i="28"/>
  <c r="CR15" i="28"/>
  <c r="CR14" i="28"/>
  <c r="CR13" i="28"/>
  <c r="CR12" i="28"/>
  <c r="CR11" i="28"/>
  <c r="CR10" i="28"/>
  <c r="CR9" i="28"/>
  <c r="CR8" i="28"/>
  <c r="CR7" i="28"/>
  <c r="CR14" i="32" l="1"/>
  <c r="CI67" i="28" l="1"/>
  <c r="CO64" i="27" l="1"/>
  <c r="CL34" i="25"/>
  <c r="CL10" i="25"/>
  <c r="CL12" i="25"/>
  <c r="CI25" i="1"/>
  <c r="CJ25" i="1"/>
  <c r="CL48" i="1"/>
  <c r="CL47" i="1"/>
  <c r="CL46" i="1"/>
  <c r="CL25" i="1"/>
  <c r="CJ18" i="1" l="1"/>
  <c r="CK18" i="1"/>
  <c r="CL18" i="1"/>
  <c r="CJ7" i="1"/>
  <c r="CK7" i="1"/>
  <c r="CL7" i="1"/>
  <c r="CK20" i="1" l="1"/>
  <c r="CJ20" i="1"/>
  <c r="CL20" i="1"/>
  <c r="CL44" i="1"/>
  <c r="CL27" i="1" l="1"/>
  <c r="CL45" i="1"/>
  <c r="CL53" i="1"/>
  <c r="CL49" i="1" l="1"/>
  <c r="CL57" i="1" s="1"/>
  <c r="CL30" i="1"/>
  <c r="CL33" i="1" s="1"/>
  <c r="CL54" i="1" l="1"/>
  <c r="CL55" i="1" s="1"/>
  <c r="CL50" i="1"/>
  <c r="CL37" i="1"/>
  <c r="CL36" i="1"/>
  <c r="CN69" i="28" l="1"/>
  <c r="CN67" i="28"/>
  <c r="CN47" i="1" l="1"/>
  <c r="CN46" i="1"/>
  <c r="CN48" i="1"/>
  <c r="CN76" i="29"/>
  <c r="CN43" i="32"/>
  <c r="CN23" i="32"/>
  <c r="CN21" i="32"/>
  <c r="CN11" i="32"/>
  <c r="CN8" i="32"/>
  <c r="CN62" i="28"/>
  <c r="CN61" i="28"/>
  <c r="CN60" i="28"/>
  <c r="CN59" i="28"/>
  <c r="CN10" i="28"/>
  <c r="CN68" i="28" s="1"/>
  <c r="CR27" i="25"/>
  <c r="CR24" i="25"/>
  <c r="CR32" i="1"/>
  <c r="CR30" i="25"/>
  <c r="CR28" i="25"/>
  <c r="CR23" i="25"/>
  <c r="CR22" i="25"/>
  <c r="CR14" i="25"/>
  <c r="CR11" i="25"/>
  <c r="CP62" i="28"/>
  <c r="CQ61" i="28"/>
  <c r="CP61" i="28"/>
  <c r="CQ60" i="28"/>
  <c r="CP60" i="28"/>
  <c r="CQ59" i="28"/>
  <c r="CP59" i="28"/>
  <c r="CP50" i="28"/>
  <c r="CP53" i="28" s="1"/>
  <c r="CP63" i="28" s="1"/>
  <c r="CQ50" i="28"/>
  <c r="CQ62" i="28"/>
  <c r="CP35" i="28"/>
  <c r="CP39" i="28" s="1"/>
  <c r="CQ35" i="28"/>
  <c r="CQ10" i="28"/>
  <c r="CP10" i="28"/>
  <c r="CO10" i="28"/>
  <c r="CR45" i="32"/>
  <c r="CR67" i="32"/>
  <c r="CN61" i="32"/>
  <c r="CN60" i="32"/>
  <c r="CR56" i="32"/>
  <c r="CN56" i="32"/>
  <c r="CN51" i="32"/>
  <c r="CN48" i="32"/>
  <c r="CN47" i="32"/>
  <c r="CN46" i="32"/>
  <c r="CN40" i="32"/>
  <c r="CR33" i="32"/>
  <c r="CN32" i="32"/>
  <c r="CN31" i="32"/>
  <c r="CN20" i="32"/>
  <c r="CN19" i="32"/>
  <c r="CN18" i="32"/>
  <c r="CN15" i="32"/>
  <c r="CN10" i="32"/>
  <c r="CL33" i="32"/>
  <c r="CN70" i="28" l="1"/>
  <c r="CN34" i="32"/>
  <c r="CN10" i="25"/>
  <c r="CN12" i="25" s="1"/>
  <c r="CN41" i="32"/>
  <c r="CR64" i="32"/>
  <c r="CN25" i="1"/>
  <c r="CN50" i="28"/>
  <c r="CN35" i="28"/>
  <c r="CN34" i="25"/>
  <c r="CN77" i="29"/>
  <c r="CR47" i="32"/>
  <c r="CN38" i="32"/>
  <c r="CN22" i="32"/>
  <c r="CN12" i="32"/>
  <c r="CN39" i="32"/>
  <c r="CN28" i="32"/>
  <c r="CN42" i="32"/>
  <c r="CN9" i="32"/>
  <c r="CN16" i="32"/>
  <c r="CN29" i="32"/>
  <c r="CN13" i="32"/>
  <c r="CN27" i="32"/>
  <c r="CN30" i="32"/>
  <c r="CN44" i="32"/>
  <c r="CN66" i="32" s="1"/>
  <c r="CP54" i="28"/>
  <c r="CP64" i="28"/>
  <c r="CR25" i="25"/>
  <c r="CN7" i="1"/>
  <c r="CN18" i="1"/>
  <c r="CR20" i="25"/>
  <c r="CQ39" i="28"/>
  <c r="CR46" i="32"/>
  <c r="CR17" i="32"/>
  <c r="CR48" i="32"/>
  <c r="CN63" i="28" l="1"/>
  <c r="CN39" i="28"/>
  <c r="CN35" i="32"/>
  <c r="CN49" i="32"/>
  <c r="CN78" i="29"/>
  <c r="CN44" i="1"/>
  <c r="CN20" i="1"/>
  <c r="CM30" i="27"/>
  <c r="CN54" i="28" l="1"/>
  <c r="CN64" i="28"/>
  <c r="CN80" i="29"/>
  <c r="CN81" i="29" s="1"/>
  <c r="CN79" i="29"/>
  <c r="CN53" i="1"/>
  <c r="CN27" i="1"/>
  <c r="CN45" i="1"/>
  <c r="CM32" i="27"/>
  <c r="CL32" i="32"/>
  <c r="CM31" i="27"/>
  <c r="CL31" i="32"/>
  <c r="CN49" i="1" l="1"/>
  <c r="CN57" i="1" s="1"/>
  <c r="CN30" i="1"/>
  <c r="CN54" i="1" l="1"/>
  <c r="CN33" i="1"/>
  <c r="CN36" i="1" l="1"/>
  <c r="CN55" i="1"/>
  <c r="CN50" i="1"/>
  <c r="CN37" i="1"/>
  <c r="CP7" i="28" l="1"/>
  <c r="CP65" i="28" l="1"/>
  <c r="CP16" i="28"/>
  <c r="CP23" i="28" s="1"/>
  <c r="CP55" i="28" s="1"/>
  <c r="CQ7" i="28" l="1"/>
  <c r="CQ16" i="28" l="1"/>
  <c r="CQ23" i="28" l="1"/>
  <c r="CL56" i="32" l="1"/>
  <c r="CL46" i="32"/>
  <c r="CL47" i="32"/>
  <c r="CL48" i="32"/>
  <c r="CL17" i="32"/>
  <c r="CL67" i="27"/>
  <c r="CL62" i="28" l="1"/>
  <c r="CL59" i="28"/>
  <c r="CL10" i="28" l="1"/>
  <c r="CL14" i="32" l="1"/>
  <c r="CL45" i="32"/>
  <c r="CL61" i="28"/>
  <c r="CL49" i="27" l="1"/>
  <c r="CL50" i="28"/>
  <c r="CL53" i="28" s="1"/>
  <c r="CL63" i="28" s="1"/>
  <c r="CL35" i="27"/>
  <c r="CL60" i="28"/>
  <c r="CL67" i="28"/>
  <c r="CL68" i="28"/>
  <c r="CL69" i="28"/>
  <c r="CL64" i="28" l="1"/>
  <c r="CL70" i="28"/>
  <c r="CM28" i="25" l="1"/>
  <c r="BX28" i="25"/>
  <c r="BS28" i="25"/>
  <c r="CI8" i="32" l="1"/>
  <c r="CJ8" i="32"/>
  <c r="CI9" i="32"/>
  <c r="CJ9" i="32"/>
  <c r="CI10" i="32"/>
  <c r="CJ10" i="32"/>
  <c r="CI11" i="32"/>
  <c r="CJ11" i="32"/>
  <c r="CI12" i="32"/>
  <c r="CJ12" i="32"/>
  <c r="CI13" i="32"/>
  <c r="CJ13" i="32"/>
  <c r="CI15" i="32"/>
  <c r="CJ15" i="32"/>
  <c r="CI16" i="32"/>
  <c r="CJ16" i="32"/>
  <c r="CJ17" i="32"/>
  <c r="CI18" i="32"/>
  <c r="CJ18" i="32"/>
  <c r="CI19" i="32"/>
  <c r="CJ19" i="32"/>
  <c r="CI20" i="32"/>
  <c r="CJ20" i="32"/>
  <c r="CI21" i="32"/>
  <c r="CJ21" i="32"/>
  <c r="CI22" i="32"/>
  <c r="CJ22" i="32"/>
  <c r="CI23" i="32"/>
  <c r="CJ23" i="32"/>
  <c r="CM67" i="32" l="1"/>
  <c r="CK56" i="32"/>
  <c r="CK48" i="32"/>
  <c r="CK47" i="32"/>
  <c r="CK46" i="32"/>
  <c r="CK17" i="32"/>
  <c r="CK64" i="27" l="1"/>
  <c r="CL64" i="27"/>
  <c r="CK10" i="28"/>
  <c r="CK10" i="25" l="1"/>
  <c r="CK12" i="25" s="1"/>
  <c r="CK67" i="27" l="1"/>
  <c r="CL40" i="32"/>
  <c r="CL28" i="32"/>
  <c r="CM11" i="28" l="1"/>
  <c r="CE64" i="27" l="1"/>
  <c r="CJ56" i="32" l="1"/>
  <c r="CJ48" i="32"/>
  <c r="CJ47" i="32"/>
  <c r="CJ46" i="32"/>
  <c r="CM60" i="27"/>
  <c r="CM10" i="28" l="1"/>
  <c r="CJ31" i="29" l="1"/>
  <c r="CJ43" i="29" s="1"/>
  <c r="CJ13" i="29"/>
  <c r="CJ19" i="29" s="1"/>
  <c r="CJ52" i="29"/>
  <c r="CJ57" i="29" s="1"/>
  <c r="CJ34" i="29"/>
  <c r="CJ39" i="29"/>
  <c r="CJ58" i="29" l="1"/>
  <c r="CJ56" i="29"/>
  <c r="CJ60" i="29"/>
  <c r="CJ61" i="29"/>
  <c r="CJ16" i="29"/>
  <c r="CJ18" i="29"/>
  <c r="CJ23" i="29"/>
  <c r="CJ17" i="29"/>
  <c r="CJ22" i="29"/>
  <c r="CJ55" i="29"/>
  <c r="CJ20" i="29"/>
  <c r="CJ21" i="29"/>
  <c r="CJ59" i="29"/>
  <c r="CJ67" i="27"/>
  <c r="CK40" i="32"/>
  <c r="CK28" i="32"/>
  <c r="CJ62" i="28"/>
  <c r="CJ61" i="28"/>
  <c r="CJ60" i="28"/>
  <c r="CJ35" i="27" l="1"/>
  <c r="CJ50" i="28"/>
  <c r="CJ53" i="28" s="1"/>
  <c r="CJ63" i="28" s="1"/>
  <c r="CJ64" i="28" s="1"/>
  <c r="CJ10" i="28"/>
  <c r="CJ35" i="28"/>
  <c r="CJ39" i="28" s="1"/>
  <c r="CJ49" i="27"/>
  <c r="CJ54" i="28" l="1"/>
  <c r="CJ10" i="25" l="1"/>
  <c r="CJ12" i="25" s="1"/>
  <c r="CJ67" i="28" l="1"/>
  <c r="CJ76" i="29" l="1"/>
  <c r="CJ77" i="29" s="1"/>
  <c r="CJ14" i="29"/>
  <c r="CJ46" i="1"/>
  <c r="CJ48" i="1" l="1"/>
  <c r="CJ34" i="25"/>
  <c r="CJ68" i="28" l="1"/>
  <c r="CJ69" i="28"/>
  <c r="CJ78" i="29"/>
  <c r="CJ47" i="1"/>
  <c r="CJ44" i="1"/>
  <c r="CJ70" i="28" l="1"/>
  <c r="CJ80" i="29"/>
  <c r="CJ81" i="29" s="1"/>
  <c r="CJ79" i="29"/>
  <c r="CJ27" i="1" l="1"/>
  <c r="CJ30" i="1" s="1"/>
  <c r="CJ33" i="1" s="1"/>
  <c r="CJ53" i="1"/>
  <c r="CJ45" i="1"/>
  <c r="CJ49" i="1" l="1"/>
  <c r="CJ57" i="1" s="1"/>
  <c r="CJ36" i="1"/>
  <c r="CJ50" i="1"/>
  <c r="CJ37" i="1"/>
  <c r="CJ54" i="1" l="1"/>
  <c r="CJ55" i="1" s="1"/>
  <c r="A66" i="32" l="1"/>
  <c r="A66" i="27"/>
  <c r="CM14" i="27" l="1"/>
  <c r="CD67" i="28" l="1"/>
  <c r="CI48" i="32" l="1"/>
  <c r="CI47" i="32"/>
  <c r="CI46" i="32"/>
  <c r="CJ61" i="32"/>
  <c r="CJ60" i="32"/>
  <c r="CJ51" i="32"/>
  <c r="CI64" i="27" l="1"/>
  <c r="CJ64" i="27"/>
  <c r="CI51" i="32"/>
  <c r="CJ40" i="32"/>
  <c r="CI40" i="32" l="1"/>
  <c r="CJ28" i="32"/>
  <c r="CI28" i="32" l="1"/>
  <c r="CJ42" i="32"/>
  <c r="CJ44" i="32"/>
  <c r="CI42" i="32" l="1"/>
  <c r="CI44" i="32"/>
  <c r="CJ66" i="32"/>
  <c r="CJ34" i="32"/>
  <c r="CI34" i="32" l="1"/>
  <c r="CJ43" i="32"/>
  <c r="CJ41" i="32"/>
  <c r="CJ39" i="32"/>
  <c r="CJ38" i="32"/>
  <c r="CJ49" i="32" s="1"/>
  <c r="CJ32" i="32"/>
  <c r="CJ31" i="32"/>
  <c r="CJ30" i="32"/>
  <c r="CJ29" i="32"/>
  <c r="CJ27" i="32"/>
  <c r="CJ35" i="32" l="1"/>
  <c r="CI29" i="32"/>
  <c r="CI39" i="32"/>
  <c r="CI41" i="32"/>
  <c r="CI43" i="32"/>
  <c r="CI31" i="32"/>
  <c r="CI30" i="32"/>
  <c r="CI32" i="32"/>
  <c r="CI27" i="32"/>
  <c r="CI38" i="32"/>
  <c r="CI35" i="27"/>
  <c r="CI35" i="32" l="1"/>
  <c r="CI76" i="29" l="1"/>
  <c r="CI77" i="29" l="1"/>
  <c r="CI67" i="27" l="1"/>
  <c r="CH67" i="32"/>
  <c r="CI56" i="32" l="1"/>
  <c r="CD23" i="32"/>
  <c r="CG17" i="32" l="1"/>
  <c r="CM64" i="32" l="1"/>
  <c r="CM56" i="32"/>
  <c r="CM48" i="32"/>
  <c r="CM47" i="32"/>
  <c r="CM46" i="32"/>
  <c r="CM45" i="32"/>
  <c r="CM33" i="32"/>
  <c r="CM28" i="32"/>
  <c r="CM17" i="32"/>
  <c r="CI61" i="32"/>
  <c r="CI60" i="32"/>
  <c r="CI49" i="27"/>
  <c r="CI66" i="32"/>
  <c r="CJ66" i="27" l="1"/>
  <c r="CI66" i="27"/>
  <c r="CM40" i="32"/>
  <c r="CM14" i="32"/>
  <c r="CI49" i="32" l="1"/>
  <c r="CM8" i="27" l="1"/>
  <c r="CM9" i="27"/>
  <c r="CM8" i="28" l="1"/>
  <c r="CM9" i="28"/>
  <c r="CI33" i="33"/>
  <c r="CI10" i="28" l="1"/>
  <c r="CM67" i="27"/>
  <c r="CM64" i="27"/>
  <c r="CM61" i="27"/>
  <c r="CM56" i="27"/>
  <c r="CM51" i="27"/>
  <c r="CM49" i="27"/>
  <c r="CM48" i="27"/>
  <c r="CM47" i="27"/>
  <c r="CM46" i="27"/>
  <c r="CM45" i="27"/>
  <c r="CM44" i="27"/>
  <c r="CM43" i="27"/>
  <c r="CM42" i="27"/>
  <c r="CM41" i="27"/>
  <c r="CM40" i="27"/>
  <c r="CM39" i="27"/>
  <c r="CM38" i="27"/>
  <c r="CM35" i="27"/>
  <c r="CM34" i="27"/>
  <c r="CM33" i="27"/>
  <c r="CM29" i="27"/>
  <c r="CM28" i="27"/>
  <c r="CM27" i="27"/>
  <c r="CM23" i="27"/>
  <c r="CM22" i="27"/>
  <c r="CM21" i="27"/>
  <c r="CM20" i="27"/>
  <c r="CM19" i="27"/>
  <c r="CM18" i="27"/>
  <c r="CM16" i="27"/>
  <c r="CM15" i="27"/>
  <c r="CM13" i="27"/>
  <c r="CM12" i="27"/>
  <c r="CM11" i="27"/>
  <c r="CM10" i="27"/>
  <c r="CM64" i="28"/>
  <c r="CM63" i="28"/>
  <c r="CM62" i="28"/>
  <c r="CM61" i="28"/>
  <c r="CM60" i="28"/>
  <c r="CM59" i="28"/>
  <c r="CM58" i="28"/>
  <c r="CM53" i="28"/>
  <c r="CM52" i="28"/>
  <c r="CM50" i="28"/>
  <c r="CM49" i="28"/>
  <c r="CM48" i="28"/>
  <c r="CM47" i="28"/>
  <c r="CM46" i="28"/>
  <c r="CM45" i="28"/>
  <c r="CM44" i="28"/>
  <c r="CM41" i="28"/>
  <c r="CM38" i="28"/>
  <c r="CM37" i="28"/>
  <c r="CM34" i="28"/>
  <c r="CM32" i="28"/>
  <c r="CM31" i="28"/>
  <c r="CM30" i="28"/>
  <c r="CM29" i="28"/>
  <c r="CM28" i="28"/>
  <c r="CM27" i="28"/>
  <c r="CM22" i="28"/>
  <c r="CM21" i="28"/>
  <c r="CM20" i="28"/>
  <c r="CM19" i="28"/>
  <c r="CM18" i="28"/>
  <c r="CM15" i="28"/>
  <c r="CM14" i="28"/>
  <c r="CM13" i="28"/>
  <c r="CM12" i="28"/>
  <c r="CM30" i="25" l="1"/>
  <c r="CM27" i="25"/>
  <c r="CM25" i="25"/>
  <c r="CM24" i="25"/>
  <c r="CM20" i="25"/>
  <c r="CM14" i="25"/>
  <c r="CM11" i="25"/>
  <c r="CM32" i="1" l="1"/>
  <c r="BS32" i="25" l="1"/>
  <c r="BO34" i="25"/>
  <c r="BS31" i="25"/>
  <c r="CA34" i="25" l="1"/>
  <c r="BZ34" i="25"/>
  <c r="BY34" i="25"/>
  <c r="BW34" i="25"/>
  <c r="BV34" i="25"/>
  <c r="BU34" i="25"/>
  <c r="BT34" i="25"/>
  <c r="BR34" i="25"/>
  <c r="BQ34" i="25"/>
  <c r="BP34" i="25"/>
  <c r="BM34" i="25"/>
  <c r="BL34" i="25"/>
  <c r="BK34" i="25"/>
  <c r="BJ34" i="25"/>
  <c r="BH34" i="25"/>
  <c r="BG34" i="25"/>
  <c r="BF34" i="25"/>
  <c r="BE34" i="25"/>
  <c r="BC34" i="25"/>
  <c r="BB34" i="25"/>
  <c r="BA34" i="25"/>
  <c r="AZ34" i="25"/>
  <c r="AX34" i="25"/>
  <c r="AW34" i="25"/>
  <c r="AV34" i="25"/>
  <c r="AU34" i="25"/>
  <c r="AS34" i="25"/>
  <c r="AR34" i="25"/>
  <c r="AQ34" i="25"/>
  <c r="AP34" i="25"/>
  <c r="CH27" i="25" l="1"/>
  <c r="CC32" i="25" l="1"/>
  <c r="BX32" i="25"/>
  <c r="BN32" i="25"/>
  <c r="BI32" i="25"/>
  <c r="BD32" i="25"/>
  <c r="AY32" i="25"/>
  <c r="AT32" i="25"/>
  <c r="AO32" i="25"/>
  <c r="AJ32" i="25"/>
  <c r="AE32" i="25"/>
  <c r="Z32" i="25"/>
  <c r="U32" i="25"/>
  <c r="P32" i="25"/>
  <c r="K32" i="25"/>
  <c r="F32" i="25"/>
  <c r="CC31" i="25"/>
  <c r="BX31" i="25"/>
  <c r="BN31" i="25"/>
  <c r="BI31" i="25"/>
  <c r="BD31" i="25"/>
  <c r="AY31" i="25"/>
  <c r="AT31" i="25"/>
  <c r="AO31" i="25"/>
  <c r="AJ31" i="25"/>
  <c r="AE31" i="25"/>
  <c r="Z31" i="25"/>
  <c r="U31" i="25"/>
  <c r="P31" i="25"/>
  <c r="K31" i="25"/>
  <c r="F31" i="25"/>
  <c r="CC33" i="25"/>
  <c r="BX33" i="25"/>
  <c r="BS33" i="25"/>
  <c r="BN33" i="25"/>
  <c r="BI33" i="25"/>
  <c r="BD33" i="25"/>
  <c r="AY33" i="25"/>
  <c r="AT33" i="25"/>
  <c r="AO33" i="25"/>
  <c r="AJ33" i="25"/>
  <c r="AE33" i="25"/>
  <c r="Z33" i="25"/>
  <c r="U33" i="25"/>
  <c r="P33" i="25"/>
  <c r="K33" i="25"/>
  <c r="F33" i="25"/>
  <c r="CC27" i="25"/>
  <c r="BX27" i="25"/>
  <c r="BS27" i="25"/>
  <c r="BN27" i="25"/>
  <c r="BI27" i="25"/>
  <c r="BD27" i="25"/>
  <c r="AY27" i="25"/>
  <c r="AT27" i="25"/>
  <c r="AO27" i="25"/>
  <c r="AJ27" i="25"/>
  <c r="AE27" i="25"/>
  <c r="Z27" i="25"/>
  <c r="U27" i="25"/>
  <c r="P27" i="25"/>
  <c r="K27" i="25"/>
  <c r="F27" i="25"/>
  <c r="CD34" i="25" l="1"/>
  <c r="CE34" i="25"/>
  <c r="CF34" i="25"/>
  <c r="CE76" i="29" l="1"/>
  <c r="CE77" i="29" s="1"/>
  <c r="BS16" i="1" l="1"/>
  <c r="BX16" i="1"/>
  <c r="CC16" i="1"/>
  <c r="CG59" i="28" l="1"/>
  <c r="CG39" i="32"/>
  <c r="CG46" i="32"/>
  <c r="CG47" i="32"/>
  <c r="CG67" i="27"/>
  <c r="CG9" i="32"/>
  <c r="CG28" i="32"/>
  <c r="CG40" i="32"/>
  <c r="CG41" i="32"/>
  <c r="CG48" i="32"/>
  <c r="CG56" i="32"/>
  <c r="CG62" i="28"/>
  <c r="CG10" i="25" l="1"/>
  <c r="CG38" i="32"/>
  <c r="CC45" i="32" l="1"/>
  <c r="CH39" i="27"/>
  <c r="CC45" i="27"/>
  <c r="K44" i="27"/>
  <c r="CF45" i="32" l="1"/>
  <c r="BY61" i="32" l="1"/>
  <c r="BZ61" i="32"/>
  <c r="CA61" i="32"/>
  <c r="CB61" i="32"/>
  <c r="CD61" i="32"/>
  <c r="BY61" i="28"/>
  <c r="BZ61" i="28"/>
  <c r="CA61" i="28"/>
  <c r="CE61" i="32" l="1"/>
  <c r="CC61" i="32"/>
  <c r="CC61" i="27"/>
  <c r="CF14" i="32" l="1"/>
  <c r="CC14" i="27"/>
  <c r="CC14" i="1" l="1"/>
  <c r="BX33" i="27" l="1"/>
  <c r="BS33" i="27"/>
  <c r="BN33" i="27"/>
  <c r="BI33" i="27"/>
  <c r="BD33" i="27"/>
  <c r="AY33" i="27"/>
  <c r="AT33" i="27"/>
  <c r="AO33" i="27"/>
  <c r="AJ33" i="27"/>
  <c r="AE33" i="27"/>
  <c r="Z33" i="27"/>
  <c r="U33" i="27"/>
  <c r="P33" i="27"/>
  <c r="K33" i="27"/>
  <c r="F33" i="27"/>
  <c r="CF33" i="32"/>
  <c r="CC33" i="27"/>
  <c r="CF52" i="29" l="1"/>
  <c r="CF58" i="29" s="1"/>
  <c r="CF13" i="29"/>
  <c r="CF31" i="29"/>
  <c r="CF9" i="32"/>
  <c r="CF17" i="32"/>
  <c r="CF28" i="32"/>
  <c r="CF38" i="32"/>
  <c r="CF39" i="32"/>
  <c r="CF40" i="32"/>
  <c r="CF41" i="32"/>
  <c r="CF46" i="32"/>
  <c r="CF47" i="32"/>
  <c r="CF48" i="32"/>
  <c r="CF56" i="32"/>
  <c r="CF39" i="29" l="1"/>
  <c r="CF34" i="29"/>
  <c r="CF43" i="29"/>
  <c r="CF19" i="29"/>
  <c r="CF14" i="29"/>
  <c r="CF16" i="29"/>
  <c r="CF56" i="29"/>
  <c r="CF55" i="29"/>
  <c r="CF20" i="29"/>
  <c r="CF22" i="29"/>
  <c r="CF59" i="29"/>
  <c r="CF21" i="29"/>
  <c r="CF61" i="29"/>
  <c r="CF18" i="29"/>
  <c r="CF57" i="29"/>
  <c r="CF60" i="29"/>
  <c r="CF23" i="29"/>
  <c r="CF17" i="29"/>
  <c r="CF49" i="27" l="1"/>
  <c r="CF10" i="32" l="1"/>
  <c r="CF35" i="27" l="1"/>
  <c r="CF61" i="28" l="1"/>
  <c r="CF59" i="28"/>
  <c r="CF67" i="28"/>
  <c r="CF62" i="28"/>
  <c r="CF10" i="28" l="1"/>
  <c r="CF50" i="28"/>
  <c r="CF53" i="28" s="1"/>
  <c r="CF63" i="28" s="1"/>
  <c r="CF35" i="28"/>
  <c r="CF39" i="28" s="1"/>
  <c r="CF60" i="28"/>
  <c r="CF54" i="28" l="1"/>
  <c r="CF10" i="25" l="1"/>
  <c r="CF12" i="25" s="1"/>
  <c r="CF48" i="1" l="1"/>
  <c r="CF47" i="1"/>
  <c r="CF46" i="1"/>
  <c r="CF69" i="28"/>
  <c r="CF25" i="1"/>
  <c r="CF68" i="28" l="1"/>
  <c r="CF18" i="1"/>
  <c r="CF7" i="1"/>
  <c r="CF70" i="28" l="1"/>
  <c r="CF20" i="1"/>
  <c r="CF44" i="1"/>
  <c r="CF53" i="1" l="1"/>
  <c r="CF27" i="1"/>
  <c r="CF49" i="1" s="1"/>
  <c r="CF57" i="1" s="1"/>
  <c r="CF30" i="1"/>
  <c r="CF33" i="1" s="1"/>
  <c r="CF36" i="1" s="1"/>
  <c r="CF45" i="1"/>
  <c r="CF54" i="1" l="1"/>
  <c r="CF55" i="1" s="1"/>
  <c r="CF50" i="1"/>
  <c r="CF37" i="1"/>
  <c r="CH67" i="27" l="1"/>
  <c r="CE56" i="32" l="1"/>
  <c r="CE48" i="32"/>
  <c r="CE47" i="32"/>
  <c r="CE46" i="32"/>
  <c r="CE41" i="32"/>
  <c r="CE40" i="32"/>
  <c r="CE39" i="32"/>
  <c r="CE38" i="32"/>
  <c r="CE28" i="32"/>
  <c r="CE17" i="32"/>
  <c r="CE10" i="32"/>
  <c r="CE9" i="32"/>
  <c r="BS56" i="27" l="1"/>
  <c r="CE62" i="28" l="1"/>
  <c r="CE59" i="28"/>
  <c r="CE10" i="25" l="1"/>
  <c r="CE12" i="25" s="1"/>
  <c r="CE10" i="28"/>
  <c r="CF64" i="27" l="1"/>
  <c r="CG64" i="27"/>
  <c r="CH64" i="27" s="1"/>
  <c r="CH64" i="32"/>
  <c r="CD31" i="29"/>
  <c r="CD61" i="28"/>
  <c r="CD60" i="28"/>
  <c r="CD46" i="1" l="1"/>
  <c r="CD76" i="29" l="1"/>
  <c r="CD47" i="1"/>
  <c r="CD48" i="1"/>
  <c r="CH100" i="29"/>
  <c r="CH66" i="29"/>
  <c r="CD52" i="29"/>
  <c r="CD43" i="29"/>
  <c r="CD13" i="29"/>
  <c r="CD60" i="32"/>
  <c r="CH56" i="32"/>
  <c r="CD56" i="32"/>
  <c r="CD51" i="32"/>
  <c r="CD48" i="32"/>
  <c r="CD47" i="32"/>
  <c r="CH47" i="32" s="1"/>
  <c r="CD46" i="32"/>
  <c r="CH46" i="32" s="1"/>
  <c r="CD44" i="32"/>
  <c r="CD66" i="32" s="1"/>
  <c r="CD43" i="32"/>
  <c r="CD42" i="32"/>
  <c r="CD41" i="32"/>
  <c r="CD40" i="32"/>
  <c r="CH40" i="32" s="1"/>
  <c r="CD39" i="32"/>
  <c r="CD38" i="32"/>
  <c r="CH38" i="32" s="1"/>
  <c r="CD34" i="32"/>
  <c r="CD32" i="32"/>
  <c r="CD31" i="32"/>
  <c r="CD30" i="32"/>
  <c r="CD29" i="32"/>
  <c r="CD28" i="32"/>
  <c r="CD27" i="32"/>
  <c r="CD22" i="32"/>
  <c r="CD21" i="32"/>
  <c r="CD20" i="32"/>
  <c r="CD19" i="32"/>
  <c r="CD18" i="32"/>
  <c r="CH17" i="32"/>
  <c r="CD16" i="32"/>
  <c r="CD15" i="32"/>
  <c r="CD13" i="32"/>
  <c r="CD12" i="32"/>
  <c r="CD11" i="32"/>
  <c r="CD10" i="32"/>
  <c r="CD9" i="32"/>
  <c r="CH9" i="32" s="1"/>
  <c r="CD8" i="32"/>
  <c r="CD64" i="27"/>
  <c r="CH56" i="27"/>
  <c r="CD49" i="27"/>
  <c r="CH48" i="27"/>
  <c r="CH47" i="27"/>
  <c r="CH46" i="27"/>
  <c r="CH41" i="27"/>
  <c r="CH40" i="27"/>
  <c r="CH38" i="27"/>
  <c r="CD35" i="27"/>
  <c r="CH28" i="27"/>
  <c r="CH9" i="27"/>
  <c r="CD69" i="28"/>
  <c r="CH62" i="28"/>
  <c r="CD62" i="28"/>
  <c r="CH59" i="28"/>
  <c r="CD59" i="28"/>
  <c r="CH58" i="28"/>
  <c r="CD50" i="28"/>
  <c r="CD53" i="28" s="1"/>
  <c r="CH47" i="28"/>
  <c r="CH41" i="28"/>
  <c r="CD35" i="28"/>
  <c r="CD39" i="28" s="1"/>
  <c r="CH27" i="28"/>
  <c r="CD10" i="28"/>
  <c r="CD68" i="28" s="1"/>
  <c r="CH25" i="25"/>
  <c r="CH24" i="25"/>
  <c r="CH32" i="1"/>
  <c r="CD25" i="1"/>
  <c r="CD18" i="1"/>
  <c r="CD7" i="1"/>
  <c r="CD49" i="32" l="1"/>
  <c r="CD57" i="29"/>
  <c r="CD61" i="29"/>
  <c r="CD20" i="1"/>
  <c r="CD23" i="29"/>
  <c r="CD17" i="29"/>
  <c r="CD21" i="29"/>
  <c r="CD20" i="29"/>
  <c r="CD22" i="29"/>
  <c r="CD16" i="29"/>
  <c r="CD18" i="29"/>
  <c r="CD19" i="29"/>
  <c r="CD78" i="29"/>
  <c r="CD44" i="1"/>
  <c r="CD34" i="29"/>
  <c r="CH41" i="32"/>
  <c r="CH28" i="32"/>
  <c r="CH87" i="29"/>
  <c r="CH48" i="32"/>
  <c r="CD35" i="32"/>
  <c r="CD77" i="29"/>
  <c r="CH106" i="29"/>
  <c r="CD59" i="29"/>
  <c r="CD56" i="29"/>
  <c r="CD58" i="29"/>
  <c r="CD14" i="29"/>
  <c r="CD55" i="29"/>
  <c r="CD60" i="29"/>
  <c r="CD39" i="29"/>
  <c r="CD66" i="27"/>
  <c r="CD65" i="32"/>
  <c r="CD65" i="27" s="1"/>
  <c r="CH39" i="32"/>
  <c r="CD54" i="28"/>
  <c r="CD63" i="28"/>
  <c r="CD64" i="28" s="1"/>
  <c r="CD70" i="28"/>
  <c r="CH20" i="25"/>
  <c r="CD53" i="1" l="1"/>
  <c r="CD27" i="1"/>
  <c r="CD80" i="29"/>
  <c r="CD81" i="29" s="1"/>
  <c r="CD79" i="29"/>
  <c r="CH90" i="29"/>
  <c r="CH91" i="29"/>
  <c r="CH92" i="29"/>
  <c r="CD45" i="1"/>
  <c r="CD30" i="1"/>
  <c r="CD49" i="1"/>
  <c r="CD57" i="1" s="1"/>
  <c r="CH93" i="29" l="1"/>
  <c r="CD54" i="1"/>
  <c r="CD55" i="1" s="1"/>
  <c r="CD6" i="27"/>
  <c r="CD33" i="1"/>
  <c r="BX68" i="29"/>
  <c r="CD50" i="1" l="1"/>
  <c r="CD36" i="1"/>
  <c r="CD37" i="1"/>
  <c r="CD24" i="27"/>
  <c r="CD53" i="27" s="1"/>
  <c r="CD6" i="32"/>
  <c r="CD24" i="32" l="1"/>
  <c r="CD53" i="32" l="1"/>
  <c r="BZ46" i="1"/>
  <c r="BZ47" i="1"/>
  <c r="BZ64" i="27" l="1"/>
  <c r="BY64" i="27"/>
  <c r="CB64" i="27" l="1"/>
  <c r="CB59" i="28" l="1"/>
  <c r="CC48" i="28"/>
  <c r="CB61" i="28"/>
  <c r="CC61" i="28" s="1"/>
  <c r="CB17" i="32"/>
  <c r="CB38" i="32"/>
  <c r="CB39" i="32"/>
  <c r="CB40" i="32"/>
  <c r="CB41" i="32"/>
  <c r="CB46" i="32"/>
  <c r="CB47" i="32"/>
  <c r="CB56" i="32"/>
  <c r="CB34" i="25" l="1"/>
  <c r="CB10" i="28"/>
  <c r="CC28" i="1"/>
  <c r="CB25" i="1" l="1"/>
  <c r="CB76" i="29"/>
  <c r="CB77" i="29" s="1"/>
  <c r="CB68" i="28"/>
  <c r="CB67" i="28"/>
  <c r="CB48" i="1"/>
  <c r="CB18" i="1"/>
  <c r="CB47" i="1"/>
  <c r="CB46" i="1"/>
  <c r="CB7" i="1"/>
  <c r="CB44" i="1" s="1"/>
  <c r="CB69" i="28"/>
  <c r="CB70" i="28" l="1"/>
  <c r="CB20" i="1"/>
  <c r="CB53" i="1" s="1"/>
  <c r="CB78" i="29"/>
  <c r="CB45" i="1" l="1"/>
  <c r="CB27" i="1"/>
  <c r="CB30" i="1" s="1"/>
  <c r="CB33" i="1" s="1"/>
  <c r="CB79" i="29"/>
  <c r="CB80" i="29"/>
  <c r="CB81" i="29" s="1"/>
  <c r="CB49" i="1" l="1"/>
  <c r="CB57" i="1" s="1"/>
  <c r="CB36" i="1"/>
  <c r="CB50" i="1"/>
  <c r="CB37" i="1"/>
  <c r="CB54" i="1" l="1"/>
  <c r="CB55" i="1" s="1"/>
  <c r="CA64" i="27" l="1"/>
  <c r="CA17" i="32"/>
  <c r="CA38" i="32"/>
  <c r="CA39" i="32"/>
  <c r="CA40" i="32"/>
  <c r="CA41" i="32"/>
  <c r="CA46" i="32"/>
  <c r="CA47" i="32"/>
  <c r="CA56" i="32"/>
  <c r="CB60" i="32"/>
  <c r="CB51" i="32"/>
  <c r="CB48" i="32"/>
  <c r="CB44" i="32"/>
  <c r="CB66" i="32" s="1"/>
  <c r="CB43" i="32"/>
  <c r="CB42" i="32"/>
  <c r="CB34" i="32"/>
  <c r="CB32" i="32"/>
  <c r="CB31" i="32"/>
  <c r="CB30" i="32"/>
  <c r="CB29" i="32"/>
  <c r="CB28" i="32"/>
  <c r="CB27" i="32"/>
  <c r="CB23" i="32"/>
  <c r="CB22" i="32"/>
  <c r="CB21" i="32"/>
  <c r="CB20" i="32"/>
  <c r="CB19" i="32"/>
  <c r="CB18" i="32"/>
  <c r="CB16" i="32"/>
  <c r="CB15" i="32"/>
  <c r="CB13" i="32"/>
  <c r="CB12" i="32"/>
  <c r="CB11" i="32"/>
  <c r="CB10" i="32"/>
  <c r="CB9" i="32"/>
  <c r="CB8" i="32"/>
  <c r="CA60" i="28"/>
  <c r="CA59" i="28"/>
  <c r="CA62" i="28"/>
  <c r="CB65" i="32" l="1"/>
  <c r="CB49" i="32"/>
  <c r="CB35" i="32"/>
  <c r="CA25" i="1"/>
  <c r="CA13" i="29"/>
  <c r="CA22" i="29" s="1"/>
  <c r="CA31" i="29"/>
  <c r="CA39" i="29" s="1"/>
  <c r="CA76" i="29"/>
  <c r="CA77" i="29" s="1"/>
  <c r="CA35" i="27"/>
  <c r="CA52" i="29"/>
  <c r="CA10" i="25"/>
  <c r="CA12" i="25" s="1"/>
  <c r="CA7" i="1"/>
  <c r="CA78" i="29" s="1"/>
  <c r="CA47" i="1"/>
  <c r="CA35" i="28"/>
  <c r="CA39" i="28" s="1"/>
  <c r="CA18" i="1"/>
  <c r="CA69" i="28"/>
  <c r="CA10" i="28"/>
  <c r="CA68" i="28" s="1"/>
  <c r="CA50" i="28"/>
  <c r="CA53" i="28" s="1"/>
  <c r="CA63" i="28" s="1"/>
  <c r="CA64" i="28" s="1"/>
  <c r="CA49" i="27"/>
  <c r="CA67" i="28"/>
  <c r="CA48" i="1"/>
  <c r="CA46" i="1"/>
  <c r="CA55" i="29" l="1"/>
  <c r="CA61" i="29"/>
  <c r="CA18" i="29"/>
  <c r="CA19" i="29"/>
  <c r="CA17" i="29"/>
  <c r="CA23" i="29"/>
  <c r="CA16" i="29"/>
  <c r="CA20" i="29"/>
  <c r="CA21" i="29"/>
  <c r="CA14" i="29"/>
  <c r="CA34" i="29"/>
  <c r="CA43" i="29"/>
  <c r="CA59" i="29"/>
  <c r="CA57" i="29"/>
  <c r="CA79" i="29"/>
  <c r="CA58" i="29"/>
  <c r="CA56" i="29"/>
  <c r="CA44" i="1"/>
  <c r="CA60" i="29"/>
  <c r="CA20" i="1"/>
  <c r="CA27" i="1" s="1"/>
  <c r="CA54" i="28"/>
  <c r="CA80" i="29"/>
  <c r="CA81" i="29" s="1"/>
  <c r="CA70" i="28"/>
  <c r="CA53" i="1" l="1"/>
  <c r="CA45" i="1"/>
  <c r="CA30" i="1"/>
  <c r="CA49" i="1"/>
  <c r="CA57" i="1" s="1"/>
  <c r="CA33" i="1" l="1"/>
  <c r="CA37" i="1" s="1"/>
  <c r="CA54" i="1"/>
  <c r="CA55" i="1" l="1"/>
  <c r="CA36" i="1"/>
  <c r="CA50" i="1"/>
  <c r="BZ56" i="32" l="1"/>
  <c r="BZ47" i="32"/>
  <c r="BZ46" i="32"/>
  <c r="BZ41" i="32"/>
  <c r="BZ40" i="32"/>
  <c r="BZ39" i="32"/>
  <c r="BZ38" i="32"/>
  <c r="BZ17" i="32"/>
  <c r="CA60" i="32"/>
  <c r="CA51" i="32"/>
  <c r="CA48" i="32"/>
  <c r="CA44" i="32"/>
  <c r="CA66" i="32" s="1"/>
  <c r="CA43" i="32"/>
  <c r="CA42" i="32"/>
  <c r="CA34" i="32"/>
  <c r="CA32" i="32"/>
  <c r="CA31" i="32"/>
  <c r="CA30" i="32"/>
  <c r="CA29" i="32"/>
  <c r="CA28" i="32"/>
  <c r="CA27" i="32"/>
  <c r="CA23" i="32"/>
  <c r="CA22" i="32"/>
  <c r="CA21" i="32"/>
  <c r="CA20" i="32"/>
  <c r="CA19" i="32"/>
  <c r="CA18" i="32"/>
  <c r="CA16" i="32"/>
  <c r="CA15" i="32"/>
  <c r="CA13" i="32"/>
  <c r="CA12" i="32"/>
  <c r="CA10" i="32"/>
  <c r="CA9" i="32"/>
  <c r="CA8" i="32"/>
  <c r="CA49" i="32" l="1"/>
  <c r="CA35" i="32"/>
  <c r="CA11" i="32"/>
  <c r="CA65" i="32"/>
  <c r="BZ69" i="28" l="1"/>
  <c r="BZ67" i="28" l="1"/>
  <c r="BZ48" i="1"/>
  <c r="BZ25" i="1"/>
  <c r="BZ7" i="1" l="1"/>
  <c r="BZ78" i="29" s="1"/>
  <c r="BZ76" i="29"/>
  <c r="BZ77" i="29" s="1"/>
  <c r="BZ18" i="1"/>
  <c r="BZ44" i="1" l="1"/>
  <c r="BZ20" i="1"/>
  <c r="BZ45" i="1" s="1"/>
  <c r="BZ80" i="29"/>
  <c r="BZ81" i="29" s="1"/>
  <c r="BZ79" i="29"/>
  <c r="BZ27" i="1" l="1"/>
  <c r="BZ49" i="1" s="1"/>
  <c r="BZ57" i="1" s="1"/>
  <c r="BZ53" i="1"/>
  <c r="BZ30" i="1" l="1"/>
  <c r="BZ54" i="1"/>
  <c r="BZ55" i="1" s="1"/>
  <c r="BZ33" i="1"/>
  <c r="BZ36" i="1" l="1"/>
  <c r="BZ50" i="1"/>
  <c r="BZ37" i="1"/>
  <c r="CC27" i="28" l="1"/>
  <c r="CC100" i="29" l="1"/>
  <c r="CC106" i="29" s="1"/>
  <c r="CC87" i="29"/>
  <c r="CC66" i="29"/>
  <c r="BZ52" i="29"/>
  <c r="BZ31" i="29"/>
  <c r="BZ13" i="29"/>
  <c r="BZ48" i="32"/>
  <c r="BZ60" i="29" l="1"/>
  <c r="BZ61" i="29"/>
  <c r="CC90" i="29"/>
  <c r="CC91" i="29"/>
  <c r="CC92" i="29"/>
  <c r="BZ18" i="29"/>
  <c r="BZ19" i="29"/>
  <c r="BZ22" i="29"/>
  <c r="BZ20" i="29"/>
  <c r="BZ16" i="29"/>
  <c r="BZ17" i="29"/>
  <c r="BZ59" i="29"/>
  <c r="BZ57" i="29"/>
  <c r="BZ55" i="29"/>
  <c r="BZ56" i="29"/>
  <c r="BZ58" i="29"/>
  <c r="BZ23" i="29"/>
  <c r="BZ21" i="29"/>
  <c r="BZ34" i="29"/>
  <c r="BZ39" i="29"/>
  <c r="BZ43" i="29"/>
  <c r="BY31" i="29"/>
  <c r="BY43" i="29" s="1"/>
  <c r="BY13" i="29"/>
  <c r="BY17" i="29" s="1"/>
  <c r="BY52" i="29"/>
  <c r="BZ14" i="29"/>
  <c r="BY10" i="28"/>
  <c r="BY56" i="29" l="1"/>
  <c r="BY61" i="29"/>
  <c r="CC93" i="29"/>
  <c r="BY21" i="29"/>
  <c r="BY57" i="29"/>
  <c r="BY23" i="29"/>
  <c r="BY22" i="29"/>
  <c r="BY18" i="29"/>
  <c r="BY16" i="29"/>
  <c r="BY20" i="29"/>
  <c r="BY19" i="29"/>
  <c r="BY60" i="29"/>
  <c r="BY55" i="29"/>
  <c r="BY58" i="29"/>
  <c r="BY59" i="29"/>
  <c r="BY39" i="29"/>
  <c r="BY34" i="29"/>
  <c r="BZ60" i="32" l="1"/>
  <c r="BZ44" i="32"/>
  <c r="BZ66" i="32" s="1"/>
  <c r="BZ43" i="32"/>
  <c r="BZ30" i="32"/>
  <c r="BZ27" i="32"/>
  <c r="BZ20" i="32"/>
  <c r="BZ19" i="32"/>
  <c r="BZ18" i="32"/>
  <c r="BZ11" i="32"/>
  <c r="BZ10" i="32"/>
  <c r="CC64" i="32"/>
  <c r="CC56" i="32"/>
  <c r="BY56" i="32"/>
  <c r="BY48" i="32"/>
  <c r="CC48" i="32" s="1"/>
  <c r="BY47" i="32"/>
  <c r="CC47" i="32" s="1"/>
  <c r="BY46" i="32"/>
  <c r="CC46" i="32" s="1"/>
  <c r="BY41" i="32"/>
  <c r="CC41" i="32" s="1"/>
  <c r="BY40" i="32"/>
  <c r="CC40" i="32" s="1"/>
  <c r="BY39" i="32"/>
  <c r="CC39" i="32" s="1"/>
  <c r="BY38" i="32"/>
  <c r="CC38" i="32" s="1"/>
  <c r="CC17" i="32"/>
  <c r="CC64" i="27"/>
  <c r="CC60" i="27"/>
  <c r="CC56" i="27"/>
  <c r="CC51" i="27"/>
  <c r="CB49" i="27"/>
  <c r="CC49" i="27" s="1"/>
  <c r="BZ49" i="27"/>
  <c r="CC48" i="27"/>
  <c r="CC47" i="27"/>
  <c r="CC46" i="27"/>
  <c r="CC44" i="27"/>
  <c r="CC43" i="27"/>
  <c r="CC42" i="27"/>
  <c r="CC41" i="27"/>
  <c r="CC40" i="27"/>
  <c r="CC39" i="27"/>
  <c r="CC38" i="27"/>
  <c r="BZ35" i="27"/>
  <c r="CC34" i="27"/>
  <c r="CC32" i="27"/>
  <c r="CC31" i="27"/>
  <c r="CC30" i="27"/>
  <c r="CC29" i="27"/>
  <c r="CC28" i="27"/>
  <c r="CC27" i="27"/>
  <c r="CC23" i="27"/>
  <c r="CC22" i="27"/>
  <c r="CC21" i="27"/>
  <c r="CC20" i="27"/>
  <c r="CC19" i="27"/>
  <c r="CC18" i="27"/>
  <c r="CC16" i="27"/>
  <c r="CC15" i="27"/>
  <c r="CC13" i="27"/>
  <c r="CC12" i="27"/>
  <c r="CC11" i="27"/>
  <c r="CC10" i="27"/>
  <c r="CC9" i="27"/>
  <c r="CC8" i="27"/>
  <c r="BZ10" i="28"/>
  <c r="CB62" i="28"/>
  <c r="CC62" i="28" s="1"/>
  <c r="BZ62" i="28"/>
  <c r="BY62" i="28"/>
  <c r="BZ60" i="28"/>
  <c r="BY60" i="28"/>
  <c r="CC59" i="28"/>
  <c r="BZ59" i="28"/>
  <c r="BY59" i="28"/>
  <c r="CC58" i="28"/>
  <c r="CC52" i="28"/>
  <c r="CC49" i="28"/>
  <c r="CC47" i="28"/>
  <c r="CC46" i="28"/>
  <c r="CC45" i="28"/>
  <c r="CC44" i="28"/>
  <c r="CC41" i="28"/>
  <c r="CC38" i="28"/>
  <c r="CC37" i="28"/>
  <c r="BZ35" i="28"/>
  <c r="BZ39" i="28" s="1"/>
  <c r="BY35" i="28"/>
  <c r="BY39" i="28" s="1"/>
  <c r="CC34" i="28"/>
  <c r="CC32" i="28"/>
  <c r="CC30" i="28"/>
  <c r="CB60" i="28"/>
  <c r="CC22" i="28"/>
  <c r="CC21" i="28"/>
  <c r="CC20" i="28"/>
  <c r="CC19" i="28"/>
  <c r="CC18" i="28"/>
  <c r="CC15" i="28"/>
  <c r="CC14" i="28"/>
  <c r="CC13" i="28"/>
  <c r="CC12" i="28"/>
  <c r="CC9" i="28"/>
  <c r="BZ65" i="32" l="1"/>
  <c r="BY18" i="32"/>
  <c r="BY19" i="32"/>
  <c r="CC19" i="32" s="1"/>
  <c r="BY60" i="32"/>
  <c r="CC60" i="32" s="1"/>
  <c r="BY10" i="32"/>
  <c r="CC10" i="32" s="1"/>
  <c r="BY20" i="32"/>
  <c r="CC20" i="32" s="1"/>
  <c r="BY30" i="32"/>
  <c r="CC30" i="32" s="1"/>
  <c r="BY27" i="32"/>
  <c r="CC27" i="32" s="1"/>
  <c r="BY44" i="32"/>
  <c r="BY66" i="32" s="1"/>
  <c r="BZ66" i="27" s="1"/>
  <c r="BZ65" i="27" s="1"/>
  <c r="CC18" i="32"/>
  <c r="BZ68" i="28"/>
  <c r="BZ70" i="28" s="1"/>
  <c r="BY9" i="32"/>
  <c r="BZ9" i="32"/>
  <c r="BY21" i="32"/>
  <c r="BZ21" i="32"/>
  <c r="BY32" i="32"/>
  <c r="BZ32" i="32"/>
  <c r="BY12" i="32"/>
  <c r="BZ12" i="32"/>
  <c r="BY22" i="32"/>
  <c r="BZ22" i="32"/>
  <c r="BY34" i="32"/>
  <c r="BZ34" i="32"/>
  <c r="BY13" i="32"/>
  <c r="BZ13" i="32"/>
  <c r="BY23" i="32"/>
  <c r="BZ23" i="32"/>
  <c r="BY42" i="32"/>
  <c r="BZ42" i="32"/>
  <c r="BZ49" i="32" s="1"/>
  <c r="BY15" i="32"/>
  <c r="BZ15" i="32"/>
  <c r="BY16" i="32"/>
  <c r="BZ16" i="32"/>
  <c r="BY28" i="32"/>
  <c r="BZ28" i="32"/>
  <c r="BY8" i="32"/>
  <c r="BZ8" i="32"/>
  <c r="BY29" i="32"/>
  <c r="BZ29" i="32"/>
  <c r="BY51" i="32"/>
  <c r="BZ51" i="32"/>
  <c r="BY11" i="32"/>
  <c r="BY31" i="32"/>
  <c r="BZ31" i="32"/>
  <c r="BY49" i="27"/>
  <c r="BY43" i="32"/>
  <c r="CC43" i="32" s="1"/>
  <c r="BY35" i="27"/>
  <c r="CB35" i="27"/>
  <c r="CC35" i="27" s="1"/>
  <c r="CC10" i="28"/>
  <c r="CC60" i="28"/>
  <c r="CC11" i="28"/>
  <c r="CC8" i="28"/>
  <c r="CC29" i="28"/>
  <c r="CC28" i="28"/>
  <c r="CC30" i="25"/>
  <c r="CC25" i="25"/>
  <c r="CC24" i="25"/>
  <c r="CC23" i="25"/>
  <c r="CC22" i="25"/>
  <c r="CC20" i="25"/>
  <c r="CC14" i="25"/>
  <c r="CC11" i="25"/>
  <c r="BZ10" i="25"/>
  <c r="BZ12" i="25" s="1"/>
  <c r="BY10" i="25"/>
  <c r="BY12" i="25" s="1"/>
  <c r="CC34" i="25" l="1"/>
  <c r="CB66" i="27"/>
  <c r="CB65" i="27" s="1"/>
  <c r="CA66" i="27"/>
  <c r="CA65" i="27" s="1"/>
  <c r="BY49" i="32"/>
  <c r="CC49" i="32" s="1"/>
  <c r="CC44" i="32"/>
  <c r="CC66" i="32"/>
  <c r="CC65" i="32" s="1"/>
  <c r="BY65" i="32"/>
  <c r="BY65" i="27" s="1"/>
  <c r="BY66" i="27"/>
  <c r="CC28" i="32"/>
  <c r="CC23" i="32"/>
  <c r="CC12" i="32"/>
  <c r="CC51" i="32"/>
  <c r="BZ35" i="32"/>
  <c r="CC11" i="32"/>
  <c r="CC13" i="32"/>
  <c r="CC32" i="32"/>
  <c r="CC29" i="32"/>
  <c r="CC8" i="32"/>
  <c r="CC15" i="32"/>
  <c r="CC34" i="32"/>
  <c r="CC21" i="32"/>
  <c r="BY35" i="32"/>
  <c r="CC16" i="32"/>
  <c r="CC31" i="32"/>
  <c r="CC42" i="32"/>
  <c r="CC22" i="32"/>
  <c r="CC9" i="32"/>
  <c r="CC66" i="27" l="1"/>
  <c r="CC65" i="27" s="1"/>
  <c r="CC35" i="32"/>
  <c r="BY69" i="28" l="1"/>
  <c r="BY68" i="28" l="1"/>
  <c r="BY25" i="1" l="1"/>
  <c r="BY76" i="29" l="1"/>
  <c r="CC76" i="29" s="1"/>
  <c r="BY14" i="29"/>
  <c r="BY7" i="1"/>
  <c r="BY44" i="1" s="1"/>
  <c r="BY67" i="28"/>
  <c r="BY70" i="28" s="1"/>
  <c r="BY48" i="1"/>
  <c r="BY18" i="1"/>
  <c r="BY46" i="1"/>
  <c r="BY47" i="1"/>
  <c r="BY20" i="1" l="1"/>
  <c r="BY53" i="1" s="1"/>
  <c r="BY77" i="29"/>
  <c r="BY78" i="29"/>
  <c r="BY80" i="29" s="1"/>
  <c r="BY27" i="1" l="1"/>
  <c r="BY49" i="1" s="1"/>
  <c r="BY54" i="1" s="1"/>
  <c r="CC54" i="1" s="1"/>
  <c r="BY45" i="1"/>
  <c r="BY79" i="29"/>
  <c r="CC78" i="29"/>
  <c r="BY30" i="1" l="1"/>
  <c r="BY6" i="27" s="1"/>
  <c r="BZ6" i="27" s="1"/>
  <c r="CA6" i="27" s="1"/>
  <c r="CB6" i="27" s="1"/>
  <c r="BY57" i="1"/>
  <c r="CC57" i="1" s="1"/>
  <c r="CC79" i="29"/>
  <c r="BY81" i="29"/>
  <c r="CC80" i="29"/>
  <c r="BY55" i="1"/>
  <c r="BY33" i="1" l="1"/>
  <c r="BY50" i="1" s="1"/>
  <c r="CB6" i="32"/>
  <c r="CB24" i="32" s="1"/>
  <c r="CB53" i="32" s="1"/>
  <c r="CB24" i="27"/>
  <c r="CC6" i="27"/>
  <c r="CA6" i="32"/>
  <c r="CA24" i="27"/>
  <c r="CA53" i="27" s="1"/>
  <c r="BZ6" i="32"/>
  <c r="BZ24" i="32" s="1"/>
  <c r="BZ53" i="32" s="1"/>
  <c r="BZ24" i="27"/>
  <c r="BY37" i="1"/>
  <c r="CC81" i="29"/>
  <c r="BY36" i="1"/>
  <c r="BY6" i="32"/>
  <c r="BY24" i="27"/>
  <c r="BY53" i="27" s="1"/>
  <c r="BY50" i="28"/>
  <c r="BY53" i="28" s="1"/>
  <c r="BY63" i="28" s="1"/>
  <c r="BY64" i="28" s="1"/>
  <c r="CC5" i="1"/>
  <c r="CC55" i="1"/>
  <c r="CC53" i="1"/>
  <c r="CC33" i="1"/>
  <c r="CC32" i="1"/>
  <c r="CC31" i="1"/>
  <c r="CC30" i="1"/>
  <c r="CC27" i="1"/>
  <c r="CC49" i="1" s="1"/>
  <c r="CC25" i="1"/>
  <c r="CC24" i="1"/>
  <c r="CC23" i="1"/>
  <c r="CC20" i="1"/>
  <c r="CC18" i="1"/>
  <c r="CC17" i="1"/>
  <c r="CC15" i="1"/>
  <c r="CC13" i="1"/>
  <c r="CC12" i="1"/>
  <c r="CC11" i="1"/>
  <c r="CC10" i="1"/>
  <c r="CC7" i="1"/>
  <c r="CC6" i="1"/>
  <c r="CA24" i="32" l="1"/>
  <c r="CA53" i="32" s="1"/>
  <c r="CC6" i="32"/>
  <c r="CC44" i="1"/>
  <c r="CC36" i="1"/>
  <c r="CC37" i="1"/>
  <c r="CC46" i="1"/>
  <c r="CC47" i="1"/>
  <c r="CC24" i="27"/>
  <c r="CB53" i="27"/>
  <c r="CC48" i="1"/>
  <c r="CC45" i="1"/>
  <c r="BZ53" i="27"/>
  <c r="BY54" i="28"/>
  <c r="BZ50" i="28"/>
  <c r="BZ53" i="28" s="1"/>
  <c r="BY24" i="32"/>
  <c r="CC50" i="1"/>
  <c r="CC53" i="27" l="1"/>
  <c r="CB50" i="28"/>
  <c r="BZ63" i="28"/>
  <c r="BZ54" i="28"/>
  <c r="CC24" i="32"/>
  <c r="BY53" i="32"/>
  <c r="BZ64" i="28" l="1"/>
  <c r="CC53" i="32"/>
  <c r="CC50" i="28"/>
  <c r="CB53" i="28"/>
  <c r="CC53" i="28" l="1"/>
  <c r="CB63" i="28"/>
  <c r="CC63" i="28" l="1"/>
  <c r="CB64" i="28"/>
  <c r="BV53" i="1"/>
  <c r="BV54" i="1"/>
  <c r="BV45" i="1"/>
  <c r="BV46" i="1"/>
  <c r="BV47" i="1"/>
  <c r="BV48" i="1"/>
  <c r="BV49" i="1"/>
  <c r="BV30" i="1"/>
  <c r="BV33" i="1" s="1"/>
  <c r="BV25" i="1"/>
  <c r="BV57" i="1" s="1"/>
  <c r="BV7" i="1"/>
  <c r="BV44" i="1" s="1"/>
  <c r="BV18" i="1"/>
  <c r="BV55" i="1" l="1"/>
  <c r="BV37" i="1"/>
  <c r="BV36" i="1"/>
  <c r="BV50" i="1"/>
  <c r="CC64" i="28"/>
  <c r="BX87" i="29" l="1"/>
  <c r="BX64" i="32"/>
  <c r="BX59" i="28"/>
  <c r="BX58" i="28"/>
  <c r="BX47" i="28"/>
  <c r="BX41" i="28"/>
  <c r="BX27" i="28"/>
  <c r="BW62" i="28"/>
  <c r="BX62" i="28" s="1"/>
  <c r="BX52" i="28"/>
  <c r="BX49" i="28"/>
  <c r="BX48" i="28"/>
  <c r="BX46" i="28"/>
  <c r="BX45" i="28"/>
  <c r="BX38" i="28"/>
  <c r="BX37" i="28"/>
  <c r="BX34" i="28"/>
  <c r="BX33" i="28"/>
  <c r="BX32" i="28"/>
  <c r="BX31" i="28"/>
  <c r="BX30" i="28"/>
  <c r="BW60" i="28"/>
  <c r="BX8" i="28"/>
  <c r="BX21" i="28"/>
  <c r="BX22" i="28"/>
  <c r="BX19" i="28"/>
  <c r="BX20" i="28"/>
  <c r="BX18" i="28"/>
  <c r="BX47" i="27"/>
  <c r="BX46" i="27"/>
  <c r="BX41" i="27"/>
  <c r="BX40" i="27"/>
  <c r="BX39" i="27"/>
  <c r="BX38" i="27"/>
  <c r="BW64" i="27"/>
  <c r="BX64" i="27" s="1"/>
  <c r="BW17" i="32"/>
  <c r="BW38" i="32"/>
  <c r="BW39" i="32"/>
  <c r="BW40" i="32"/>
  <c r="BW41" i="32"/>
  <c r="BW46" i="32"/>
  <c r="BW47" i="32"/>
  <c r="BX61" i="27"/>
  <c r="BX60" i="27"/>
  <c r="BX56" i="27"/>
  <c r="BX51" i="27"/>
  <c r="BX48" i="27"/>
  <c r="BX44" i="27"/>
  <c r="BX43" i="27"/>
  <c r="BX42" i="27"/>
  <c r="BX32" i="27"/>
  <c r="BX34" i="27"/>
  <c r="BX31" i="27"/>
  <c r="BX30" i="27"/>
  <c r="BX29" i="27"/>
  <c r="BX28" i="27"/>
  <c r="BX27" i="27"/>
  <c r="BX23" i="27"/>
  <c r="BX22" i="27"/>
  <c r="BX21" i="27"/>
  <c r="BX20" i="27"/>
  <c r="BX19" i="27"/>
  <c r="BX18" i="27"/>
  <c r="BX16" i="27"/>
  <c r="BX15" i="27"/>
  <c r="BX13" i="27"/>
  <c r="BX12" i="27"/>
  <c r="BX11" i="27"/>
  <c r="BX9" i="27"/>
  <c r="BX10" i="27"/>
  <c r="BX8" i="27"/>
  <c r="BX15" i="28"/>
  <c r="BX14" i="28"/>
  <c r="BX13" i="28"/>
  <c r="BX12" i="28"/>
  <c r="BX9" i="28" l="1"/>
  <c r="BW10" i="28"/>
  <c r="BX29" i="28"/>
  <c r="BW50" i="28"/>
  <c r="BX50" i="28" s="1"/>
  <c r="BW56" i="32"/>
  <c r="BX56" i="32" s="1"/>
  <c r="BX91" i="29"/>
  <c r="BX60" i="28"/>
  <c r="BX28" i="28"/>
  <c r="BX44" i="28"/>
  <c r="BW49" i="27"/>
  <c r="BX49" i="27" s="1"/>
  <c r="BW61" i="28"/>
  <c r="BX61" i="28" s="1"/>
  <c r="BW35" i="27"/>
  <c r="BX35" i="27" s="1"/>
  <c r="BW35" i="28"/>
  <c r="BX11" i="28"/>
  <c r="BX92" i="29"/>
  <c r="BX90" i="29"/>
  <c r="BX10" i="28" l="1"/>
  <c r="BW53" i="28"/>
  <c r="BW63" i="28" s="1"/>
  <c r="BX93" i="29"/>
  <c r="BX35" i="28"/>
  <c r="BW39" i="28"/>
  <c r="BX63" i="28" l="1"/>
  <c r="BW64" i="28"/>
  <c r="BX64" i="28" s="1"/>
  <c r="CC60" i="1" s="1"/>
  <c r="BX53" i="28"/>
  <c r="CC59" i="1" s="1"/>
  <c r="BX39" i="28"/>
  <c r="BW54" i="28"/>
  <c r="BX54" i="28" s="1"/>
  <c r="BW69" i="28" l="1"/>
  <c r="BW68" i="28"/>
  <c r="BX100" i="29" l="1"/>
  <c r="BX106" i="29" s="1"/>
  <c r="BW31" i="29" l="1"/>
  <c r="BW39" i="29" s="1"/>
  <c r="BW43" i="29" l="1"/>
  <c r="BW34" i="29"/>
  <c r="BW76" i="29" l="1"/>
  <c r="BW77" i="29" s="1"/>
  <c r="BW67" i="28"/>
  <c r="BW70" i="28" s="1"/>
  <c r="BW47" i="1"/>
  <c r="BW48" i="1"/>
  <c r="BW46" i="1"/>
  <c r="BW52" i="29" l="1"/>
  <c r="BW58" i="29" s="1"/>
  <c r="BW56" i="29" l="1"/>
  <c r="BW55" i="29"/>
  <c r="BW61" i="29"/>
  <c r="BW57" i="29"/>
  <c r="BW60" i="29"/>
  <c r="BW59" i="29"/>
  <c r="BV64" i="27" l="1"/>
  <c r="BU61" i="32" l="1"/>
  <c r="BU60" i="32"/>
  <c r="BU56" i="32"/>
  <c r="BU51" i="32"/>
  <c r="BU48" i="32"/>
  <c r="BU47" i="32"/>
  <c r="BU46" i="32"/>
  <c r="BU44" i="32"/>
  <c r="BU66" i="32" s="1"/>
  <c r="BU43" i="32"/>
  <c r="BU42" i="32"/>
  <c r="BU41" i="32"/>
  <c r="BU40" i="32"/>
  <c r="BU39" i="32"/>
  <c r="BU38" i="32"/>
  <c r="BU34" i="32"/>
  <c r="BU32" i="32"/>
  <c r="BU31" i="32"/>
  <c r="BU30" i="32"/>
  <c r="BU29" i="32"/>
  <c r="BU28" i="32"/>
  <c r="BU27" i="32"/>
  <c r="BU23" i="32"/>
  <c r="BU22" i="32"/>
  <c r="BU21" i="32"/>
  <c r="BU20" i="32"/>
  <c r="BU19" i="32"/>
  <c r="BU18" i="32"/>
  <c r="BU17" i="32"/>
  <c r="BU16" i="32"/>
  <c r="BU15" i="32"/>
  <c r="BU13" i="32"/>
  <c r="BU12" i="32"/>
  <c r="BU11" i="32"/>
  <c r="BU10" i="32"/>
  <c r="BU9" i="32"/>
  <c r="BU8" i="32"/>
  <c r="BU35" i="32" l="1"/>
  <c r="BU49" i="32"/>
  <c r="BU65" i="32"/>
  <c r="BV56" i="32" l="1"/>
  <c r="BV47" i="32"/>
  <c r="BV46" i="32"/>
  <c r="BV41" i="32"/>
  <c r="BV40" i="32"/>
  <c r="BV39" i="32"/>
  <c r="BV38" i="32"/>
  <c r="BV17" i="32"/>
  <c r="BX17" i="32" s="1"/>
  <c r="BW28" i="32"/>
  <c r="BV62" i="28"/>
  <c r="BW15" i="32" l="1"/>
  <c r="BW34" i="32" l="1"/>
  <c r="BV51" i="32" l="1"/>
  <c r="BW51" i="32"/>
  <c r="BV9" i="32" l="1"/>
  <c r="BW9" i="32"/>
  <c r="BW42" i="32" l="1"/>
  <c r="BW43" i="32"/>
  <c r="BW23" i="32" l="1"/>
  <c r="BW22" i="32"/>
  <c r="BW11" i="32"/>
  <c r="BW13" i="32" l="1"/>
  <c r="BW27" i="32"/>
  <c r="BW12" i="32"/>
  <c r="BW30" i="32"/>
  <c r="BW8" i="32"/>
  <c r="BW20" i="32"/>
  <c r="BW31" i="32"/>
  <c r="BW44" i="32"/>
  <c r="BW16" i="32"/>
  <c r="BW18" i="32"/>
  <c r="BW29" i="32"/>
  <c r="BW19" i="32"/>
  <c r="BW21" i="32"/>
  <c r="BW32" i="32"/>
  <c r="BW48" i="32"/>
  <c r="BW10" i="32"/>
  <c r="BW35" i="32" l="1"/>
  <c r="BV60" i="32"/>
  <c r="BW60" i="32"/>
  <c r="BW66" i="32"/>
  <c r="BW49" i="32"/>
  <c r="BV61" i="32"/>
  <c r="BW61" i="32"/>
  <c r="BV76" i="29"/>
  <c r="BV35" i="27"/>
  <c r="BV49" i="27"/>
  <c r="BW65" i="32" l="1"/>
  <c r="BV77" i="29"/>
  <c r="BV31" i="29" l="1"/>
  <c r="BV43" i="29" l="1"/>
  <c r="BV34" i="29"/>
  <c r="BV39" i="29"/>
  <c r="BV52" i="29"/>
  <c r="BV58" i="29" l="1"/>
  <c r="BV60" i="29"/>
  <c r="BV55" i="29"/>
  <c r="BV61" i="29"/>
  <c r="BV57" i="29"/>
  <c r="BV59" i="29"/>
  <c r="BV56" i="29"/>
  <c r="BV69" i="28" l="1"/>
  <c r="BV67" i="28"/>
  <c r="BV68" i="28"/>
  <c r="BV61" i="28"/>
  <c r="BV50" i="28" l="1"/>
  <c r="BV53" i="28" s="1"/>
  <c r="BV63" i="28" s="1"/>
  <c r="BV60" i="28"/>
  <c r="BV70" i="28"/>
  <c r="BV64" i="28" l="1"/>
  <c r="BV35" i="28"/>
  <c r="BV39" i="28" s="1"/>
  <c r="BV54" i="28" s="1"/>
  <c r="BU64" i="27" l="1"/>
  <c r="BV10" i="32" l="1"/>
  <c r="BV15" i="32"/>
  <c r="BV78" i="29" l="1"/>
  <c r="BV79" i="29" l="1"/>
  <c r="BU52" i="29" l="1"/>
  <c r="BU61" i="29" s="1"/>
  <c r="BU31" i="29"/>
  <c r="BU62" i="28"/>
  <c r="BU59" i="28"/>
  <c r="BU43" i="29" l="1"/>
  <c r="BU34" i="29"/>
  <c r="BU39" i="29"/>
  <c r="BU56" i="29"/>
  <c r="BU55" i="29"/>
  <c r="BU58" i="29"/>
  <c r="BU57" i="29"/>
  <c r="BU59" i="29"/>
  <c r="BU60" i="29"/>
  <c r="BU10" i="28"/>
  <c r="BV28" i="32" l="1"/>
  <c r="BF53" i="1" l="1"/>
  <c r="BT62" i="28" l="1"/>
  <c r="BT61" i="28"/>
  <c r="BT60" i="28"/>
  <c r="BT59" i="28"/>
  <c r="BT35" i="28"/>
  <c r="BT39" i="28" s="1"/>
  <c r="BT10" i="28"/>
  <c r="BT67" i="28" l="1"/>
  <c r="BT69" i="28" l="1"/>
  <c r="BT68" i="28"/>
  <c r="BT70" i="28" l="1"/>
  <c r="BT76" i="29" l="1"/>
  <c r="BX66" i="29"/>
  <c r="BT52" i="29"/>
  <c r="BT59" i="29" s="1"/>
  <c r="BX50" i="29"/>
  <c r="BX49" i="29"/>
  <c r="BX48" i="29"/>
  <c r="BX47" i="29"/>
  <c r="BT31" i="29"/>
  <c r="BX27" i="29"/>
  <c r="BX26" i="29"/>
  <c r="BV13" i="29"/>
  <c r="BU13" i="29"/>
  <c r="BT13" i="29"/>
  <c r="BX12" i="29"/>
  <c r="BX10" i="29"/>
  <c r="BX8" i="29"/>
  <c r="BX7" i="29"/>
  <c r="BX30" i="25"/>
  <c r="BX25" i="25"/>
  <c r="BX24" i="25"/>
  <c r="BX23" i="25"/>
  <c r="BX22" i="25"/>
  <c r="BX20" i="25"/>
  <c r="BX14" i="25"/>
  <c r="BX11" i="25"/>
  <c r="BW10" i="25"/>
  <c r="BW12" i="25" s="1"/>
  <c r="BV10" i="25"/>
  <c r="BV12" i="25" s="1"/>
  <c r="BU10" i="25"/>
  <c r="BU12" i="25" s="1"/>
  <c r="BT10" i="25"/>
  <c r="BT12" i="25" s="1"/>
  <c r="BX9" i="25"/>
  <c r="BX8" i="25"/>
  <c r="BX7" i="25"/>
  <c r="BX6" i="25"/>
  <c r="BT64" i="27"/>
  <c r="BT49" i="27"/>
  <c r="BT35" i="27"/>
  <c r="BT12" i="32"/>
  <c r="BT61" i="32"/>
  <c r="BX61" i="32" s="1"/>
  <c r="BT60" i="32"/>
  <c r="BX60" i="32" s="1"/>
  <c r="BT56" i="32"/>
  <c r="BT51" i="32"/>
  <c r="BX51" i="32" s="1"/>
  <c r="BT48" i="32"/>
  <c r="BT47" i="32"/>
  <c r="BX47" i="32" s="1"/>
  <c r="BT46" i="32"/>
  <c r="BX46" i="32" s="1"/>
  <c r="BT44" i="32"/>
  <c r="BT43" i="32"/>
  <c r="BT42" i="32"/>
  <c r="BT41" i="32"/>
  <c r="BX41" i="32" s="1"/>
  <c r="BT40" i="32"/>
  <c r="BX40" i="32" s="1"/>
  <c r="BT39" i="32"/>
  <c r="BX39" i="32" s="1"/>
  <c r="BT38" i="32"/>
  <c r="BX38" i="32" s="1"/>
  <c r="BT34" i="32"/>
  <c r="BT32" i="32"/>
  <c r="BT31" i="32"/>
  <c r="BT30" i="32"/>
  <c r="BT29" i="32"/>
  <c r="BT28" i="32"/>
  <c r="BX28" i="32" s="1"/>
  <c r="BT27" i="32"/>
  <c r="BT23" i="32"/>
  <c r="BT22" i="32"/>
  <c r="BT21" i="32"/>
  <c r="BT20" i="32"/>
  <c r="BT19" i="32"/>
  <c r="BT18" i="32"/>
  <c r="BT16" i="32"/>
  <c r="BT15" i="32"/>
  <c r="BX15" i="32" s="1"/>
  <c r="BT13" i="32"/>
  <c r="BT11" i="32"/>
  <c r="BT10" i="32"/>
  <c r="BX10" i="32" s="1"/>
  <c r="BT9" i="32"/>
  <c r="BX9" i="32" s="1"/>
  <c r="BT8" i="32"/>
  <c r="BT48" i="1"/>
  <c r="BT47" i="1"/>
  <c r="BT46" i="1"/>
  <c r="BX32" i="1"/>
  <c r="BT25" i="1"/>
  <c r="BW25" i="1"/>
  <c r="BW18" i="1"/>
  <c r="BV80" i="29"/>
  <c r="BT18" i="1"/>
  <c r="BX13" i="1"/>
  <c r="BT7" i="1"/>
  <c r="BT44" i="1" s="1"/>
  <c r="BW7" i="1"/>
  <c r="BW78" i="29" s="1"/>
  <c r="BX34" i="25" l="1"/>
  <c r="BT34" i="29"/>
  <c r="BT43" i="29"/>
  <c r="BT39" i="29"/>
  <c r="BW79" i="29"/>
  <c r="BW80" i="29"/>
  <c r="BW81" i="29" s="1"/>
  <c r="BV81" i="29"/>
  <c r="BW44" i="1"/>
  <c r="BV14" i="29"/>
  <c r="BV23" i="29"/>
  <c r="BV22" i="29"/>
  <c r="BV17" i="29"/>
  <c r="BV20" i="29"/>
  <c r="BV18" i="29"/>
  <c r="BV19" i="29"/>
  <c r="BV21" i="29"/>
  <c r="BV16" i="29"/>
  <c r="BU19" i="29"/>
  <c r="BU23" i="29"/>
  <c r="BU17" i="29"/>
  <c r="BU22" i="29"/>
  <c r="BU16" i="29"/>
  <c r="BU21" i="29"/>
  <c r="BU20" i="29"/>
  <c r="BU18" i="29"/>
  <c r="BT20" i="29"/>
  <c r="BT14" i="29"/>
  <c r="BT66" i="32"/>
  <c r="BT55" i="29"/>
  <c r="BT56" i="29"/>
  <c r="BT58" i="29"/>
  <c r="BT60" i="29"/>
  <c r="BT61" i="29"/>
  <c r="BT78" i="29"/>
  <c r="BT17" i="29"/>
  <c r="BX31" i="29"/>
  <c r="BX9" i="29"/>
  <c r="BT22" i="29"/>
  <c r="BT19" i="29"/>
  <c r="BT16" i="29"/>
  <c r="BX46" i="29"/>
  <c r="BX6" i="29"/>
  <c r="BW13" i="29"/>
  <c r="BT18" i="29"/>
  <c r="BX51" i="29"/>
  <c r="BT57" i="29"/>
  <c r="BT77" i="29"/>
  <c r="BT21" i="29"/>
  <c r="BX11" i="29"/>
  <c r="BT23" i="29"/>
  <c r="BT20" i="1"/>
  <c r="BT35" i="32"/>
  <c r="BW20" i="1"/>
  <c r="BT49" i="32"/>
  <c r="BX12" i="25"/>
  <c r="BX10" i="25"/>
  <c r="BX40" i="29" l="1"/>
  <c r="BX41" i="29"/>
  <c r="BX42" i="29"/>
  <c r="BX43" i="29"/>
  <c r="BW53" i="1"/>
  <c r="BW19" i="29"/>
  <c r="BW20" i="29"/>
  <c r="BW23" i="29"/>
  <c r="BW17" i="29"/>
  <c r="BW21" i="29"/>
  <c r="BW18" i="29"/>
  <c r="BW22" i="29"/>
  <c r="BW16" i="29"/>
  <c r="BW45" i="1"/>
  <c r="BX34" i="29"/>
  <c r="BX38" i="29" s="1"/>
  <c r="BT79" i="29"/>
  <c r="BT80" i="29"/>
  <c r="BT81" i="29" s="1"/>
  <c r="BT53" i="1"/>
  <c r="BT65" i="32"/>
  <c r="BT65" i="27" s="1"/>
  <c r="BT66" i="27"/>
  <c r="BX39" i="29"/>
  <c r="BW14" i="29"/>
  <c r="BX52" i="29"/>
  <c r="BX60" i="29" s="1"/>
  <c r="BX13" i="29"/>
  <c r="BX23" i="29" s="1"/>
  <c r="BW27" i="1"/>
  <c r="BW49" i="1" s="1"/>
  <c r="BW57" i="1" s="1"/>
  <c r="BT45" i="1"/>
  <c r="BT27" i="1"/>
  <c r="BW54" i="1" l="1"/>
  <c r="BW55" i="1" s="1"/>
  <c r="BX21" i="29"/>
  <c r="BX18" i="29"/>
  <c r="BX55" i="29"/>
  <c r="BX20" i="29"/>
  <c r="BX22" i="29"/>
  <c r="BX17" i="29"/>
  <c r="BX19" i="29"/>
  <c r="BX16" i="29"/>
  <c r="BX57" i="29"/>
  <c r="BX61" i="29"/>
  <c r="BX56" i="29"/>
  <c r="BX59" i="29"/>
  <c r="BX58" i="29"/>
  <c r="BW30" i="1"/>
  <c r="BT30" i="1"/>
  <c r="BT49" i="1"/>
  <c r="BT54" i="1" l="1"/>
  <c r="BT55" i="1" s="1"/>
  <c r="BT57" i="1"/>
  <c r="BT33" i="1"/>
  <c r="BT6" i="27"/>
  <c r="BW33" i="1"/>
  <c r="BW50" i="1" l="1"/>
  <c r="BW37" i="1"/>
  <c r="BT24" i="27"/>
  <c r="BT53" i="27" s="1"/>
  <c r="BT6" i="32"/>
  <c r="BT50" i="1"/>
  <c r="BT36" i="1"/>
  <c r="BT37" i="1"/>
  <c r="BT24" i="32" l="1"/>
  <c r="BT53" i="32" l="1"/>
  <c r="BQ64" i="27"/>
  <c r="BS28" i="1"/>
  <c r="BN28" i="1"/>
  <c r="BI28" i="1"/>
  <c r="BD28" i="1"/>
  <c r="AY28" i="1"/>
  <c r="AT28" i="1"/>
  <c r="AO28" i="1"/>
  <c r="AJ28" i="1"/>
  <c r="AE28" i="1"/>
  <c r="Z28" i="1"/>
  <c r="U28" i="1"/>
  <c r="P28" i="1"/>
  <c r="K28" i="1"/>
  <c r="F28" i="1"/>
  <c r="BN17" i="1" l="1"/>
  <c r="BI17" i="1"/>
  <c r="BS68" i="29" l="1"/>
  <c r="BS87" i="29"/>
  <c r="BS92" i="29" l="1"/>
  <c r="BS90" i="29"/>
  <c r="BS91" i="29"/>
  <c r="BS93" i="29" l="1"/>
  <c r="B9" i="32"/>
  <c r="C9" i="32"/>
  <c r="D9" i="32"/>
  <c r="E9" i="32"/>
  <c r="G9" i="32"/>
  <c r="H9" i="32"/>
  <c r="I9" i="32"/>
  <c r="J9" i="32"/>
  <c r="L9" i="32"/>
  <c r="M9" i="32"/>
  <c r="N9" i="32"/>
  <c r="O9" i="32"/>
  <c r="Q9" i="32"/>
  <c r="R9" i="32"/>
  <c r="S9" i="32"/>
  <c r="T9" i="32"/>
  <c r="V9" i="32"/>
  <c r="W9" i="32"/>
  <c r="X9" i="32"/>
  <c r="Y9" i="32"/>
  <c r="AA9" i="32"/>
  <c r="AB9" i="32"/>
  <c r="AC9" i="32"/>
  <c r="AD9" i="32"/>
  <c r="AF9" i="32"/>
  <c r="AG9" i="32"/>
  <c r="AH9" i="32"/>
  <c r="AI9" i="32"/>
  <c r="AK9" i="32"/>
  <c r="AL9" i="32"/>
  <c r="AM9" i="32"/>
  <c r="AN9" i="32"/>
  <c r="AP9" i="32"/>
  <c r="AQ9" i="32"/>
  <c r="AR9" i="32"/>
  <c r="AS9" i="32"/>
  <c r="AU9" i="32"/>
  <c r="AV9" i="32"/>
  <c r="AW9" i="32"/>
  <c r="AX9" i="32"/>
  <c r="AZ9" i="32"/>
  <c r="BA9" i="32"/>
  <c r="BB9" i="32"/>
  <c r="BC9" i="32"/>
  <c r="BE9" i="32"/>
  <c r="BF9" i="32"/>
  <c r="BG9" i="32"/>
  <c r="BH9" i="32"/>
  <c r="BJ9" i="32"/>
  <c r="BK9" i="32"/>
  <c r="BL9" i="32"/>
  <c r="BM9" i="32"/>
  <c r="BO9" i="32"/>
  <c r="BP9" i="32"/>
  <c r="BQ9" i="32"/>
  <c r="B10" i="32"/>
  <c r="C10" i="32"/>
  <c r="D10" i="32"/>
  <c r="E10" i="32"/>
  <c r="G10" i="32"/>
  <c r="H10" i="32"/>
  <c r="I10" i="32"/>
  <c r="J10" i="32"/>
  <c r="L10" i="32"/>
  <c r="M10" i="32"/>
  <c r="N10" i="32"/>
  <c r="O10" i="32"/>
  <c r="Q10" i="32"/>
  <c r="R10" i="32"/>
  <c r="S10" i="32"/>
  <c r="T10" i="32"/>
  <c r="V10" i="32"/>
  <c r="W10" i="32"/>
  <c r="X10" i="32"/>
  <c r="Y10" i="32"/>
  <c r="AA10" i="32"/>
  <c r="AB10" i="32"/>
  <c r="AC10" i="32"/>
  <c r="AD10" i="32"/>
  <c r="AF10" i="32"/>
  <c r="AG10" i="32"/>
  <c r="AH10" i="32"/>
  <c r="AI10" i="32"/>
  <c r="AK10" i="32"/>
  <c r="AL10" i="32"/>
  <c r="AM10" i="32"/>
  <c r="AN10" i="32"/>
  <c r="AP10" i="32"/>
  <c r="AQ10" i="32"/>
  <c r="AR10" i="32"/>
  <c r="AS10" i="32"/>
  <c r="AU10" i="32"/>
  <c r="AV10" i="32"/>
  <c r="AW10" i="32"/>
  <c r="AX10" i="32"/>
  <c r="AZ10" i="32"/>
  <c r="BA10" i="32"/>
  <c r="BB10" i="32"/>
  <c r="BC10" i="32"/>
  <c r="BE10" i="32"/>
  <c r="BF10" i="32"/>
  <c r="BG10" i="32"/>
  <c r="BH10" i="32"/>
  <c r="BJ10" i="32"/>
  <c r="BK10" i="32"/>
  <c r="BL10" i="32"/>
  <c r="BM10" i="32"/>
  <c r="BO10" i="32"/>
  <c r="BP10" i="32"/>
  <c r="BQ10" i="32"/>
  <c r="AY10" i="32" l="1"/>
  <c r="AO9" i="32"/>
  <c r="U9" i="32"/>
  <c r="K10" i="32"/>
  <c r="AJ10" i="32"/>
  <c r="P10" i="32"/>
  <c r="BI10" i="32"/>
  <c r="BN10" i="32"/>
  <c r="BD9" i="32"/>
  <c r="BR10" i="32"/>
  <c r="BS10" i="32" s="1"/>
  <c r="BS10" i="27"/>
  <c r="BD10" i="32"/>
  <c r="K9" i="32"/>
  <c r="AT10" i="32"/>
  <c r="AT9" i="32"/>
  <c r="F10" i="32"/>
  <c r="AJ9" i="32"/>
  <c r="Z9" i="32"/>
  <c r="F9" i="32"/>
  <c r="P9" i="32"/>
  <c r="BN9" i="32"/>
  <c r="AO10" i="32"/>
  <c r="U10" i="32"/>
  <c r="AY9" i="32"/>
  <c r="Z10" i="32"/>
  <c r="BR9" i="32"/>
  <c r="BS9" i="32" s="1"/>
  <c r="BS9" i="27"/>
  <c r="AE10" i="32"/>
  <c r="BI9" i="32"/>
  <c r="AE9" i="32"/>
  <c r="BN97" i="29"/>
  <c r="BI97" i="29"/>
  <c r="BD97" i="29"/>
  <c r="AY97" i="29"/>
  <c r="AT97" i="29"/>
  <c r="AO97" i="29"/>
  <c r="AJ97" i="29"/>
  <c r="AE97" i="29"/>
  <c r="Z97" i="29"/>
  <c r="BS15" i="1" l="1"/>
  <c r="BS13" i="1"/>
  <c r="BS100" i="29" l="1"/>
  <c r="BS106" i="29" s="1"/>
  <c r="BS66" i="29" l="1"/>
  <c r="BR52" i="29"/>
  <c r="BR58" i="29" s="1"/>
  <c r="BR31" i="29"/>
  <c r="BR43" i="29" s="1"/>
  <c r="BR60" i="29" l="1"/>
  <c r="BR55" i="29"/>
  <c r="BR59" i="29"/>
  <c r="BR56" i="29"/>
  <c r="BR57" i="29"/>
  <c r="BR61" i="29"/>
  <c r="BR34" i="29"/>
  <c r="BR39" i="29"/>
  <c r="BS52" i="28" l="1"/>
  <c r="BS49" i="28"/>
  <c r="BS46" i="28"/>
  <c r="BS45" i="28"/>
  <c r="BS44" i="28"/>
  <c r="BS38" i="28"/>
  <c r="BS37" i="28"/>
  <c r="BS34" i="28"/>
  <c r="BS31" i="28"/>
  <c r="BS32" i="28"/>
  <c r="BS30" i="28"/>
  <c r="BS33" i="28"/>
  <c r="BS28" i="28"/>
  <c r="BS27" i="28"/>
  <c r="BS22" i="28"/>
  <c r="BS21" i="28"/>
  <c r="BS20" i="28"/>
  <c r="BS19" i="28"/>
  <c r="BS18" i="28"/>
  <c r="BS15" i="28"/>
  <c r="BS14" i="28"/>
  <c r="BS13" i="28"/>
  <c r="BS11" i="28"/>
  <c r="BS8" i="28"/>
  <c r="BR62" i="28"/>
  <c r="BS62" i="28" s="1"/>
  <c r="BS58" i="28"/>
  <c r="BS47" i="28"/>
  <c r="BS41" i="28"/>
  <c r="BR60" i="28" l="1"/>
  <c r="BS60" i="28" s="1"/>
  <c r="BR61" i="28"/>
  <c r="BS61" i="28" s="1"/>
  <c r="BR59" i="28"/>
  <c r="BS59" i="28" s="1"/>
  <c r="BS9" i="28"/>
  <c r="BR10" i="28"/>
  <c r="BR35" i="28"/>
  <c r="BS35" i="28" s="1"/>
  <c r="BS29" i="28"/>
  <c r="BS12" i="28"/>
  <c r="BS10" i="28" l="1"/>
  <c r="BR39" i="28"/>
  <c r="BS39" i="28" s="1"/>
  <c r="BS64" i="32" l="1"/>
  <c r="BS56" i="32"/>
  <c r="BR48" i="32"/>
  <c r="BR47" i="32"/>
  <c r="BR46" i="32"/>
  <c r="BR61" i="32"/>
  <c r="BR60" i="32"/>
  <c r="BR51" i="32"/>
  <c r="BR44" i="32"/>
  <c r="BR40" i="32"/>
  <c r="BR43" i="32"/>
  <c r="BR42" i="32"/>
  <c r="BR41" i="32"/>
  <c r="BR39" i="32"/>
  <c r="BR38" i="32"/>
  <c r="BR34" i="32"/>
  <c r="BR32" i="32"/>
  <c r="BR31" i="32"/>
  <c r="BR30" i="32"/>
  <c r="BR29" i="32"/>
  <c r="BR28" i="32"/>
  <c r="BR27" i="32"/>
  <c r="BR23" i="32"/>
  <c r="BR22" i="32"/>
  <c r="BR21" i="32"/>
  <c r="BR20" i="32"/>
  <c r="BR19" i="32"/>
  <c r="BR18" i="32"/>
  <c r="BR16" i="32"/>
  <c r="BR15" i="32"/>
  <c r="BR13" i="32"/>
  <c r="BR12" i="32"/>
  <c r="BR11" i="32"/>
  <c r="BR8" i="32"/>
  <c r="BR66" i="32" l="1"/>
  <c r="BR49" i="32"/>
  <c r="BR35" i="32"/>
  <c r="BR65" i="32" l="1"/>
  <c r="BS61" i="27" l="1"/>
  <c r="BS60" i="27"/>
  <c r="BS51" i="27"/>
  <c r="BS48" i="27"/>
  <c r="BS47" i="27"/>
  <c r="BS46" i="27"/>
  <c r="BS44" i="27"/>
  <c r="BS43" i="27"/>
  <c r="BS42" i="27"/>
  <c r="BS41" i="27"/>
  <c r="BS40" i="27"/>
  <c r="BS39" i="27"/>
  <c r="BS38" i="27"/>
  <c r="BS34" i="27"/>
  <c r="BS32" i="27"/>
  <c r="BS31" i="27"/>
  <c r="BS30" i="27"/>
  <c r="BS29" i="27"/>
  <c r="BS28" i="27"/>
  <c r="BS27" i="27"/>
  <c r="BS23" i="27"/>
  <c r="BS22" i="27"/>
  <c r="BS21" i="27"/>
  <c r="BS20" i="27"/>
  <c r="BS19" i="27"/>
  <c r="BS18" i="27"/>
  <c r="BS16" i="27"/>
  <c r="BS15" i="27"/>
  <c r="BS13" i="27"/>
  <c r="BS12" i="27"/>
  <c r="BS11" i="27"/>
  <c r="BS8" i="27"/>
  <c r="BR64" i="27"/>
  <c r="BS64" i="27" s="1"/>
  <c r="BR49" i="27"/>
  <c r="BS49" i="27" s="1"/>
  <c r="BR35" i="27"/>
  <c r="BS35" i="27" s="1"/>
  <c r="BR10" i="25" l="1"/>
  <c r="BR12" i="25" s="1"/>
  <c r="BR76" i="29" l="1"/>
  <c r="BR48" i="1"/>
  <c r="BR67" i="28"/>
  <c r="BR69" i="28"/>
  <c r="BR68" i="28"/>
  <c r="BR18" i="1"/>
  <c r="BR25" i="1"/>
  <c r="BR46" i="1"/>
  <c r="BR7" i="1"/>
  <c r="BR47" i="1"/>
  <c r="BR44" i="1" l="1"/>
  <c r="BR78" i="29"/>
  <c r="BR70" i="28"/>
  <c r="BR77" i="29"/>
  <c r="BR20" i="1"/>
  <c r="BR57" i="1" l="1"/>
  <c r="BR53" i="1"/>
  <c r="BR79" i="29"/>
  <c r="BR80" i="29"/>
  <c r="BR27" i="1"/>
  <c r="BR45" i="1"/>
  <c r="BR54" i="1" l="1"/>
  <c r="BR55" i="1" s="1"/>
  <c r="BR30" i="1"/>
  <c r="BR49" i="1"/>
  <c r="BR81" i="29"/>
  <c r="BR33" i="1" l="1"/>
  <c r="BR37" i="1" s="1"/>
  <c r="BR50" i="1" l="1"/>
  <c r="BR36" i="1"/>
  <c r="BQ76" i="29" l="1"/>
  <c r="BQ10" i="28"/>
  <c r="BQ13" i="29"/>
  <c r="BQ23" i="29" s="1"/>
  <c r="BQ52" i="29"/>
  <c r="BQ56" i="29" s="1"/>
  <c r="BQ31" i="29"/>
  <c r="BQ77" i="29" l="1"/>
  <c r="BQ17" i="29"/>
  <c r="BQ22" i="29"/>
  <c r="BQ20" i="29"/>
  <c r="BQ18" i="29"/>
  <c r="BQ14" i="29"/>
  <c r="BQ21" i="29"/>
  <c r="BQ19" i="29"/>
  <c r="BQ16" i="29"/>
  <c r="BQ43" i="29"/>
  <c r="BQ39" i="29"/>
  <c r="BQ61" i="29"/>
  <c r="BQ59" i="29"/>
  <c r="BQ55" i="29"/>
  <c r="BQ58" i="29"/>
  <c r="BQ57" i="29"/>
  <c r="BQ60" i="29"/>
  <c r="BQ34" i="29"/>
  <c r="BQ61" i="32" l="1"/>
  <c r="BQ60" i="32"/>
  <c r="BQ56" i="32"/>
  <c r="BQ51" i="32"/>
  <c r="BQ48" i="32"/>
  <c r="BQ47" i="32"/>
  <c r="BQ46" i="32"/>
  <c r="BQ44" i="32"/>
  <c r="BQ66" i="32" s="1"/>
  <c r="BQ43" i="32"/>
  <c r="BQ42" i="32"/>
  <c r="BQ41" i="32"/>
  <c r="BQ40" i="32"/>
  <c r="BQ39" i="32"/>
  <c r="BQ38" i="32"/>
  <c r="BQ34" i="32"/>
  <c r="BQ32" i="32"/>
  <c r="BQ31" i="32"/>
  <c r="BQ30" i="32"/>
  <c r="BQ29" i="32"/>
  <c r="BQ28" i="32"/>
  <c r="BQ27" i="32"/>
  <c r="BQ23" i="32"/>
  <c r="BQ22" i="32"/>
  <c r="BQ21" i="32"/>
  <c r="BQ20" i="32"/>
  <c r="BQ19" i="32"/>
  <c r="BQ18" i="32"/>
  <c r="BQ17" i="32"/>
  <c r="BQ16" i="32"/>
  <c r="BQ15" i="32"/>
  <c r="BQ13" i="32"/>
  <c r="BQ12" i="32"/>
  <c r="BQ11" i="32"/>
  <c r="BQ8" i="32"/>
  <c r="BQ49" i="27"/>
  <c r="BQ35" i="27"/>
  <c r="BQ62" i="28"/>
  <c r="BQ59" i="28"/>
  <c r="BQ61" i="28"/>
  <c r="BQ69" i="28"/>
  <c r="BQ60" i="28"/>
  <c r="BQ35" i="28"/>
  <c r="BQ39" i="28" s="1"/>
  <c r="BQ68" i="28"/>
  <c r="BQ67" i="28"/>
  <c r="BQ10" i="25"/>
  <c r="BQ12" i="25" s="1"/>
  <c r="BQ25" i="1"/>
  <c r="BQ48" i="1"/>
  <c r="BQ47" i="1"/>
  <c r="BQ46" i="1"/>
  <c r="BQ7" i="1"/>
  <c r="BQ78" i="29" l="1"/>
  <c r="BQ35" i="32"/>
  <c r="BQ49" i="32"/>
  <c r="BQ65" i="32"/>
  <c r="BQ70" i="28"/>
  <c r="BQ44" i="1"/>
  <c r="BQ18" i="1"/>
  <c r="BQ20" i="1" s="1"/>
  <c r="BQ53" i="1" l="1"/>
  <c r="BQ79" i="29"/>
  <c r="BQ80" i="29"/>
  <c r="BQ45" i="1"/>
  <c r="BQ27" i="1"/>
  <c r="BQ49" i="1" s="1"/>
  <c r="BQ57" i="1" s="1"/>
  <c r="BQ54" i="1" l="1"/>
  <c r="BQ55" i="1" s="1"/>
  <c r="BQ30" i="1"/>
  <c r="BQ81" i="29"/>
  <c r="BQ33" i="1"/>
  <c r="BQ37" i="1" l="1"/>
  <c r="BQ50" i="1"/>
  <c r="BQ36" i="1"/>
  <c r="BP56" i="32" l="1"/>
  <c r="BO56" i="32"/>
  <c r="BN56" i="32"/>
  <c r="BI56" i="32"/>
  <c r="BD56" i="32"/>
  <c r="AY56" i="32"/>
  <c r="AT56" i="32"/>
  <c r="AO56" i="32"/>
  <c r="AJ56" i="32"/>
  <c r="AE56" i="32"/>
  <c r="Z56" i="32"/>
  <c r="U56" i="32"/>
  <c r="P56" i="32"/>
  <c r="K56" i="32"/>
  <c r="F56" i="32"/>
  <c r="F56" i="27"/>
  <c r="K56" i="27"/>
  <c r="P56" i="27"/>
  <c r="U56" i="27"/>
  <c r="Z56" i="27"/>
  <c r="AE56" i="27"/>
  <c r="AJ56" i="27"/>
  <c r="AO56" i="27"/>
  <c r="AT56" i="27"/>
  <c r="AY56" i="27"/>
  <c r="BD56" i="27"/>
  <c r="BI56" i="27"/>
  <c r="BN56" i="27"/>
  <c r="A62" i="28" l="1"/>
  <c r="A61" i="28"/>
  <c r="A60" i="28"/>
  <c r="BO22" i="28"/>
  <c r="BL7" i="1" l="1"/>
  <c r="BM7" i="1"/>
  <c r="BM44" i="1" s="1"/>
  <c r="BL18" i="1"/>
  <c r="BL20" i="1" s="1"/>
  <c r="BM18" i="1"/>
  <c r="BM20" i="1" s="1"/>
  <c r="BL25" i="1"/>
  <c r="BM25" i="1"/>
  <c r="BL44" i="1"/>
  <c r="BL46" i="1"/>
  <c r="BM46" i="1"/>
  <c r="BL47" i="1"/>
  <c r="BM47" i="1"/>
  <c r="BL48" i="1"/>
  <c r="BM48" i="1"/>
  <c r="BL53" i="1" l="1"/>
  <c r="BM57" i="1"/>
  <c r="BM53" i="1"/>
  <c r="BM54" i="1" s="1"/>
  <c r="BM55" i="1" s="1"/>
  <c r="BM27" i="1"/>
  <c r="BM49" i="1" s="1"/>
  <c r="BM45" i="1"/>
  <c r="BL27" i="1"/>
  <c r="BL49" i="1" s="1"/>
  <c r="BL57" i="1" s="1"/>
  <c r="BL45" i="1"/>
  <c r="BL54" i="1" l="1"/>
  <c r="BL55" i="1" s="1"/>
  <c r="BL30" i="1"/>
  <c r="BM30" i="1"/>
  <c r="BL33" i="1"/>
  <c r="BM33" i="1"/>
  <c r="BM37" i="1" l="1"/>
  <c r="BM36" i="1"/>
  <c r="BM50" i="1"/>
  <c r="BL37" i="1"/>
  <c r="BL36" i="1"/>
  <c r="BL50" i="1"/>
  <c r="BS50" i="29" l="1"/>
  <c r="BS26" i="29"/>
  <c r="BS11" i="29"/>
  <c r="BS8" i="29"/>
  <c r="BS12" i="29"/>
  <c r="BS10" i="29"/>
  <c r="BS9" i="29"/>
  <c r="BS7" i="29"/>
  <c r="BS6" i="29"/>
  <c r="BP62" i="28"/>
  <c r="BP61" i="28"/>
  <c r="BP60" i="28"/>
  <c r="BP59" i="28"/>
  <c r="BP35" i="28"/>
  <c r="BP39" i="28" s="1"/>
  <c r="BP10" i="28"/>
  <c r="BP48" i="32"/>
  <c r="BP47" i="32"/>
  <c r="BP46" i="32"/>
  <c r="BP17" i="32"/>
  <c r="BS17" i="32" s="1"/>
  <c r="BP61" i="32"/>
  <c r="BP60" i="32"/>
  <c r="BP51" i="32"/>
  <c r="BP44" i="32"/>
  <c r="BP66" i="32" s="1"/>
  <c r="BQ66" i="27" s="1"/>
  <c r="BQ65" i="27" s="1"/>
  <c r="BP43" i="32"/>
  <c r="BP42" i="32"/>
  <c r="BP41" i="32"/>
  <c r="BP40" i="32"/>
  <c r="BP39" i="32"/>
  <c r="BP38" i="32"/>
  <c r="BP34" i="32"/>
  <c r="BP32" i="32"/>
  <c r="BP31" i="32"/>
  <c r="BP30" i="32"/>
  <c r="BP29" i="32"/>
  <c r="BP28" i="32"/>
  <c r="BP27" i="32"/>
  <c r="BP23" i="32"/>
  <c r="BP22" i="32"/>
  <c r="BP21" i="32"/>
  <c r="BP20" i="32"/>
  <c r="BP19" i="32"/>
  <c r="BP18" i="32"/>
  <c r="BP16" i="32"/>
  <c r="BP15" i="32"/>
  <c r="BP13" i="32"/>
  <c r="BP11" i="32"/>
  <c r="BP8" i="32"/>
  <c r="BS48" i="29" l="1"/>
  <c r="BS49" i="29"/>
  <c r="BS46" i="29"/>
  <c r="BP65" i="32"/>
  <c r="BP31" i="29"/>
  <c r="BP34" i="29" s="1"/>
  <c r="BP35" i="32"/>
  <c r="BP49" i="32"/>
  <c r="BS27" i="29"/>
  <c r="BS31" i="29" s="1"/>
  <c r="BS47" i="29"/>
  <c r="BS51" i="29"/>
  <c r="BP52" i="29"/>
  <c r="BP60" i="29" s="1"/>
  <c r="BS52" i="29" l="1"/>
  <c r="BS58" i="29" s="1"/>
  <c r="BS42" i="29"/>
  <c r="BS40" i="29"/>
  <c r="BS41" i="29"/>
  <c r="BP39" i="29"/>
  <c r="BP43" i="29"/>
  <c r="BP58" i="29"/>
  <c r="BP59" i="29"/>
  <c r="BP55" i="29"/>
  <c r="BP61" i="29"/>
  <c r="BP57" i="29"/>
  <c r="BP56" i="29"/>
  <c r="BP66" i="27"/>
  <c r="BP65" i="27"/>
  <c r="BP64" i="27"/>
  <c r="BP49" i="27"/>
  <c r="BP35" i="27"/>
  <c r="BS60" i="29" l="1"/>
  <c r="BS55" i="29"/>
  <c r="BS56" i="29"/>
  <c r="BS57" i="29"/>
  <c r="BS61" i="29"/>
  <c r="BS59" i="29"/>
  <c r="BS43" i="29"/>
  <c r="BS34" i="29"/>
  <c r="BS38" i="29" s="1"/>
  <c r="BS39" i="29"/>
  <c r="BP10" i="25"/>
  <c r="BP12" i="25" l="1"/>
  <c r="BP67" i="28" l="1"/>
  <c r="BP76" i="29"/>
  <c r="BP69" i="28"/>
  <c r="BP68" i="28"/>
  <c r="BP25" i="1"/>
  <c r="BP48" i="1"/>
  <c r="BP47" i="1"/>
  <c r="BP46" i="1"/>
  <c r="BP7" i="1"/>
  <c r="BP78" i="29" l="1"/>
  <c r="BP77" i="29"/>
  <c r="BP79" i="29"/>
  <c r="BP70" i="28"/>
  <c r="BP44" i="1"/>
  <c r="BP18" i="1"/>
  <c r="BP20" i="1" s="1"/>
  <c r="BP53" i="1" l="1"/>
  <c r="BP80" i="29"/>
  <c r="BP27" i="1"/>
  <c r="BP49" i="1" s="1"/>
  <c r="BP57" i="1" s="1"/>
  <c r="BP45" i="1"/>
  <c r="BP54" i="1" l="1"/>
  <c r="BP55" i="1" s="1"/>
  <c r="BP30" i="1"/>
  <c r="BP33" i="1" s="1"/>
  <c r="BP81" i="29"/>
  <c r="BO65" i="27"/>
  <c r="BO64" i="27"/>
  <c r="BP37" i="1" l="1"/>
  <c r="BP50" i="1"/>
  <c r="BP36" i="1"/>
  <c r="BO48" i="32" l="1"/>
  <c r="BS48" i="32" s="1"/>
  <c r="BO47" i="32"/>
  <c r="BS47" i="32" s="1"/>
  <c r="BO46" i="32"/>
  <c r="BS46" i="32" s="1"/>
  <c r="BO28" i="32"/>
  <c r="BS28" i="32" s="1"/>
  <c r="BO61" i="32" l="1"/>
  <c r="BS61" i="32" s="1"/>
  <c r="BO60" i="32"/>
  <c r="BS60" i="32" s="1"/>
  <c r="BO51" i="32"/>
  <c r="BS51" i="32" s="1"/>
  <c r="BO44" i="32"/>
  <c r="BO43" i="32"/>
  <c r="BS43" i="32" s="1"/>
  <c r="BO42" i="32"/>
  <c r="BS42" i="32" s="1"/>
  <c r="BO41" i="32"/>
  <c r="BS41" i="32" s="1"/>
  <c r="BO40" i="32"/>
  <c r="BS40" i="32" s="1"/>
  <c r="BO39" i="32"/>
  <c r="BS39" i="32" s="1"/>
  <c r="BO38" i="32"/>
  <c r="BS38" i="32" s="1"/>
  <c r="BO34" i="32"/>
  <c r="BS34" i="32" s="1"/>
  <c r="BO32" i="32"/>
  <c r="BS32" i="32" s="1"/>
  <c r="BO31" i="32"/>
  <c r="BS31" i="32" s="1"/>
  <c r="BO30" i="32"/>
  <c r="BS30" i="32" s="1"/>
  <c r="BO29" i="32"/>
  <c r="BS29" i="32" s="1"/>
  <c r="BO27" i="32"/>
  <c r="BS27" i="32" s="1"/>
  <c r="BO23" i="32"/>
  <c r="BS23" i="32" s="1"/>
  <c r="BO22" i="32"/>
  <c r="BS22" i="32" s="1"/>
  <c r="BO21" i="32"/>
  <c r="BS21" i="32" s="1"/>
  <c r="BO20" i="32"/>
  <c r="BS20" i="32" s="1"/>
  <c r="BO19" i="32"/>
  <c r="BS19" i="32" s="1"/>
  <c r="BO18" i="32"/>
  <c r="BS18" i="32" s="1"/>
  <c r="BO16" i="32"/>
  <c r="BS16" i="32" s="1"/>
  <c r="BO15" i="32"/>
  <c r="BS15" i="32" s="1"/>
  <c r="BO13" i="32"/>
  <c r="BS13" i="32" s="1"/>
  <c r="BO11" i="32"/>
  <c r="BS11" i="32" s="1"/>
  <c r="BO8" i="32"/>
  <c r="BS8" i="32" s="1"/>
  <c r="BO66" i="32" l="1"/>
  <c r="BO66" i="27" s="1"/>
  <c r="BS44" i="32"/>
  <c r="BO49" i="32"/>
  <c r="BS49" i="32" s="1"/>
  <c r="BO35" i="32"/>
  <c r="BS35" i="32" s="1"/>
  <c r="BS66" i="32" l="1"/>
  <c r="BS65" i="32" s="1"/>
  <c r="BR66" i="27"/>
  <c r="BR65" i="27" s="1"/>
  <c r="BS66" i="27" l="1"/>
  <c r="BS65" i="27" s="1"/>
  <c r="BO76" i="29"/>
  <c r="BS76" i="29" s="1"/>
  <c r="BO52" i="29"/>
  <c r="BO58" i="29" s="1"/>
  <c r="BO31" i="29"/>
  <c r="BO34" i="29" s="1"/>
  <c r="BR13" i="29"/>
  <c r="BP13" i="29"/>
  <c r="BO13" i="29"/>
  <c r="BO22" i="29" s="1"/>
  <c r="BO49" i="27"/>
  <c r="BO35" i="27"/>
  <c r="BO69" i="28"/>
  <c r="BO67" i="28"/>
  <c r="BO62" i="28"/>
  <c r="BO61" i="28"/>
  <c r="BO60" i="28"/>
  <c r="BO59" i="28"/>
  <c r="BO35" i="28"/>
  <c r="BO39" i="28" s="1"/>
  <c r="BO10" i="28"/>
  <c r="BS25" i="25"/>
  <c r="BS20" i="25"/>
  <c r="BS14" i="25"/>
  <c r="BS9" i="25"/>
  <c r="BO10" i="25"/>
  <c r="BS30" i="25"/>
  <c r="BS24" i="25"/>
  <c r="BS23" i="25"/>
  <c r="BS22" i="25"/>
  <c r="BS11" i="25"/>
  <c r="BS8" i="25"/>
  <c r="BS6" i="25"/>
  <c r="BS31" i="1"/>
  <c r="BO25" i="1"/>
  <c r="BS25" i="1" s="1"/>
  <c r="BO48" i="1"/>
  <c r="BO47" i="1"/>
  <c r="BO46" i="1"/>
  <c r="BO7" i="1"/>
  <c r="BO44" i="1" s="1"/>
  <c r="BS32" i="1"/>
  <c r="BS24" i="1"/>
  <c r="BS23" i="1"/>
  <c r="BS12" i="1"/>
  <c r="BS11" i="1"/>
  <c r="BS6" i="1"/>
  <c r="BS5" i="1"/>
  <c r="BS34" i="25" l="1"/>
  <c r="BO77" i="29"/>
  <c r="BR23" i="29"/>
  <c r="BR18" i="29"/>
  <c r="BR19" i="29"/>
  <c r="BR20" i="29"/>
  <c r="BR21" i="29"/>
  <c r="BR16" i="29"/>
  <c r="BR17" i="29"/>
  <c r="BR22" i="29"/>
  <c r="BO68" i="28"/>
  <c r="BO70" i="28" s="1"/>
  <c r="BP17" i="29"/>
  <c r="BS13" i="29"/>
  <c r="BP23" i="29"/>
  <c r="BP21" i="29"/>
  <c r="BP16" i="29"/>
  <c r="BP22" i="29"/>
  <c r="BP19" i="29"/>
  <c r="BP20" i="29"/>
  <c r="BP18" i="29"/>
  <c r="BO12" i="27"/>
  <c r="BO59" i="29"/>
  <c r="BO55" i="29"/>
  <c r="BO60" i="29"/>
  <c r="BO56" i="29"/>
  <c r="BO61" i="29"/>
  <c r="BO57" i="29"/>
  <c r="BO39" i="29"/>
  <c r="BO43" i="29"/>
  <c r="BO78" i="29"/>
  <c r="BS78" i="29" s="1"/>
  <c r="BO17" i="29"/>
  <c r="BO21" i="29"/>
  <c r="BO18" i="29"/>
  <c r="BO14" i="29"/>
  <c r="BO19" i="29"/>
  <c r="BO23" i="29"/>
  <c r="BP14" i="29"/>
  <c r="BO16" i="29"/>
  <c r="BO20" i="29"/>
  <c r="BR14" i="29"/>
  <c r="BO12" i="25"/>
  <c r="BS12" i="25" s="1"/>
  <c r="BS10" i="25"/>
  <c r="BS7" i="25"/>
  <c r="BS10" i="1"/>
  <c r="BS46" i="1" s="1"/>
  <c r="BS17" i="1"/>
  <c r="BO18" i="1"/>
  <c r="BS18" i="1" s="1"/>
  <c r="BS47" i="1"/>
  <c r="BS48" i="1"/>
  <c r="BS7" i="1"/>
  <c r="BS79" i="29" l="1"/>
  <c r="BS23" i="29"/>
  <c r="BS17" i="29"/>
  <c r="BS22" i="29"/>
  <c r="BS18" i="29"/>
  <c r="BS20" i="29"/>
  <c r="BS19" i="29"/>
  <c r="BS16" i="29"/>
  <c r="BS21" i="29"/>
  <c r="BS44" i="1"/>
  <c r="BO12" i="32"/>
  <c r="BP12" i="32"/>
  <c r="BS14" i="29"/>
  <c r="BO79" i="29"/>
  <c r="BO80" i="29"/>
  <c r="BO20" i="1"/>
  <c r="BO53" i="1" l="1"/>
  <c r="BS12" i="32"/>
  <c r="BS80" i="29"/>
  <c r="BO81" i="29"/>
  <c r="BO27" i="1"/>
  <c r="BO49" i="1" s="1"/>
  <c r="BO57" i="1" s="1"/>
  <c r="BS57" i="1" s="1"/>
  <c r="BO45" i="1"/>
  <c r="BS20" i="1"/>
  <c r="BO54" i="1" l="1"/>
  <c r="BO55" i="1" s="1"/>
  <c r="BO30" i="1"/>
  <c r="BS30" i="1" s="1"/>
  <c r="BS27" i="1"/>
  <c r="BS49" i="1" s="1"/>
  <c r="BS81" i="29"/>
  <c r="BS45" i="1"/>
  <c r="BS53" i="1"/>
  <c r="BO6" i="27" l="1"/>
  <c r="BO6" i="32" l="1"/>
  <c r="BP6" i="27"/>
  <c r="BQ6" i="27" s="1"/>
  <c r="BR6" i="27" s="1"/>
  <c r="BO33" i="1"/>
  <c r="BS54" i="1"/>
  <c r="BS55" i="1"/>
  <c r="BO24" i="27"/>
  <c r="BO53" i="27" s="1"/>
  <c r="BK67" i="27"/>
  <c r="BN58" i="28"/>
  <c r="BN47" i="28"/>
  <c r="BR6" i="32" l="1"/>
  <c r="BR24" i="32" s="1"/>
  <c r="BR53" i="32" s="1"/>
  <c r="BR24" i="27"/>
  <c r="BS6" i="27"/>
  <c r="BO24" i="32"/>
  <c r="BQ6" i="32"/>
  <c r="BQ24" i="32" s="1"/>
  <c r="BQ53" i="32" s="1"/>
  <c r="BQ24" i="27"/>
  <c r="BQ53" i="27" s="1"/>
  <c r="BP6" i="32"/>
  <c r="BP24" i="32" s="1"/>
  <c r="BP53" i="32" s="1"/>
  <c r="BP24" i="27"/>
  <c r="BP53" i="27" s="1"/>
  <c r="BO37" i="1"/>
  <c r="BO36" i="1"/>
  <c r="BO50" i="1"/>
  <c r="BS33" i="1"/>
  <c r="BS37" i="1" s="1"/>
  <c r="BS6" i="32" l="1"/>
  <c r="BO53" i="32"/>
  <c r="BS53" i="32" s="1"/>
  <c r="BS24" i="32"/>
  <c r="BR53" i="27"/>
  <c r="BS24" i="27"/>
  <c r="BS36" i="1"/>
  <c r="BS50" i="1"/>
  <c r="BN87" i="29"/>
  <c r="BS53" i="27" l="1"/>
  <c r="BN91" i="29"/>
  <c r="BN90" i="29"/>
  <c r="BN92" i="29"/>
  <c r="BN100" i="29"/>
  <c r="BN106" i="29" s="1"/>
  <c r="BN93" i="29" l="1"/>
  <c r="BN41" i="28"/>
  <c r="BM62" i="28"/>
  <c r="BN62" i="28" s="1"/>
  <c r="BN21" i="28"/>
  <c r="BN22" i="28"/>
  <c r="BN15" i="28" l="1"/>
  <c r="BN28" i="28" l="1"/>
  <c r="BM60" i="28"/>
  <c r="BN60" i="28" s="1"/>
  <c r="BN37" i="28"/>
  <c r="BN44" i="28" l="1"/>
  <c r="BN18" i="28"/>
  <c r="BN19" i="28" l="1"/>
  <c r="BN14" i="28"/>
  <c r="BN20" i="28"/>
  <c r="BN34" i="28"/>
  <c r="BN46" i="28"/>
  <c r="BN45" i="28"/>
  <c r="BN49" i="28"/>
  <c r="BN29" i="28"/>
  <c r="BN52" i="28"/>
  <c r="BN38" i="28" l="1"/>
  <c r="BM61" i="28"/>
  <c r="BN61" i="28" s="1"/>
  <c r="BN33" i="28"/>
  <c r="BN47" i="29" l="1"/>
  <c r="BI47" i="29"/>
  <c r="BD47" i="29"/>
  <c r="AY47" i="29"/>
  <c r="AT47" i="29"/>
  <c r="AO47" i="29"/>
  <c r="BN66" i="29" l="1"/>
  <c r="AO50" i="29" l="1"/>
  <c r="AT50" i="29"/>
  <c r="AY50" i="29" l="1"/>
  <c r="BD50" i="29"/>
  <c r="BI50" i="29"/>
  <c r="BN50" i="29"/>
  <c r="BM27" i="32" l="1"/>
  <c r="BN32" i="28"/>
  <c r="BN31" i="28"/>
  <c r="BN30" i="28"/>
  <c r="BN13" i="28"/>
  <c r="BN12" i="28"/>
  <c r="BN27" i="28"/>
  <c r="BN9" i="28"/>
  <c r="BN8" i="28"/>
  <c r="BN11" i="28" l="1"/>
  <c r="BM10" i="28"/>
  <c r="BM68" i="28" l="1"/>
  <c r="BM59" i="28"/>
  <c r="BN10" i="28"/>
  <c r="BN48" i="27"/>
  <c r="BN47" i="27"/>
  <c r="BN46" i="27"/>
  <c r="BN8" i="27"/>
  <c r="BM64" i="27"/>
  <c r="BN64" i="27" s="1"/>
  <c r="BN59" i="28" l="1"/>
  <c r="BM35" i="28"/>
  <c r="BM39" i="28" l="1"/>
  <c r="BN39" i="28" s="1"/>
  <c r="BN35" i="28"/>
  <c r="BM48" i="32"/>
  <c r="BM47" i="32"/>
  <c r="BM46" i="32"/>
  <c r="BM40" i="32"/>
  <c r="BM39" i="32"/>
  <c r="BM29" i="32"/>
  <c r="BM28" i="32"/>
  <c r="BM18" i="32"/>
  <c r="BM16" i="32"/>
  <c r="BM8" i="32"/>
  <c r="BN61" i="27"/>
  <c r="BN60" i="27"/>
  <c r="BN51" i="27"/>
  <c r="BN44" i="27"/>
  <c r="BN43" i="27"/>
  <c r="BN42" i="27"/>
  <c r="BN41" i="27"/>
  <c r="BN40" i="27"/>
  <c r="BN39" i="27"/>
  <c r="BN38" i="27"/>
  <c r="BN34" i="27"/>
  <c r="BN32" i="27"/>
  <c r="BN31" i="27"/>
  <c r="BN30" i="27"/>
  <c r="BN29" i="27"/>
  <c r="BN28" i="27"/>
  <c r="BN27" i="27"/>
  <c r="BN23" i="27"/>
  <c r="BN22" i="27"/>
  <c r="BN21" i="27"/>
  <c r="BN20" i="27"/>
  <c r="BN19" i="27"/>
  <c r="BN18" i="27"/>
  <c r="BN16" i="27"/>
  <c r="BN15" i="27"/>
  <c r="BN13" i="27"/>
  <c r="BN11" i="27"/>
  <c r="BM51" i="32" l="1"/>
  <c r="BM19" i="32"/>
  <c r="BM30" i="32"/>
  <c r="BM41" i="32"/>
  <c r="BM20" i="32"/>
  <c r="BM31" i="32"/>
  <c r="BM42" i="32"/>
  <c r="BM60" i="32"/>
  <c r="BM21" i="32"/>
  <c r="BM32" i="32"/>
  <c r="BM43" i="32"/>
  <c r="BM61" i="32"/>
  <c r="BM11" i="32"/>
  <c r="BM22" i="32"/>
  <c r="BM34" i="32"/>
  <c r="BM44" i="32"/>
  <c r="BM66" i="32" s="1"/>
  <c r="BM13" i="32"/>
  <c r="BM23" i="32"/>
  <c r="BM15" i="32"/>
  <c r="BM38" i="32"/>
  <c r="BM49" i="27"/>
  <c r="BN49" i="27" s="1"/>
  <c r="BM35" i="27"/>
  <c r="BN35" i="27" s="1"/>
  <c r="BM65" i="32" l="1"/>
  <c r="BM10" i="25"/>
  <c r="BM35" i="32"/>
  <c r="BM49" i="32"/>
  <c r="BM69" i="28"/>
  <c r="BM12" i="25" l="1"/>
  <c r="BM76" i="29" l="1"/>
  <c r="BM67" i="28"/>
  <c r="BM70" i="28" s="1"/>
  <c r="BN68" i="29"/>
  <c r="BM77" i="29" l="1"/>
  <c r="BM78" i="29"/>
  <c r="BM80" i="29" l="1"/>
  <c r="BM79" i="29"/>
  <c r="BM81" i="29" l="1"/>
  <c r="BL64" i="27" l="1"/>
  <c r="BK64" i="27"/>
  <c r="BK69" i="28"/>
  <c r="BK67" i="28"/>
  <c r="BL52" i="29" l="1"/>
  <c r="BL56" i="29" l="1"/>
  <c r="BL57" i="29"/>
  <c r="BL58" i="29"/>
  <c r="BL60" i="29"/>
  <c r="BL59" i="29"/>
  <c r="BK62" i="28" l="1"/>
  <c r="BK61" i="28"/>
  <c r="BK60" i="28"/>
  <c r="BK59" i="28"/>
  <c r="BK35" i="28"/>
  <c r="BK39" i="28" s="1"/>
  <c r="BK10" i="28"/>
  <c r="BK68" i="28" l="1"/>
  <c r="BK70" i="28" s="1"/>
  <c r="BL59" i="28"/>
  <c r="BL62" i="28"/>
  <c r="BL17" i="32"/>
  <c r="BL46" i="32"/>
  <c r="BL47" i="32"/>
  <c r="BL48" i="32"/>
  <c r="BK49" i="27"/>
  <c r="BK35" i="27"/>
  <c r="BL28" i="32"/>
  <c r="BK10" i="25" l="1"/>
  <c r="BK48" i="1"/>
  <c r="BK47" i="1"/>
  <c r="BK46" i="1"/>
  <c r="BK25" i="1"/>
  <c r="BK18" i="1"/>
  <c r="BK7" i="1"/>
  <c r="BK44" i="1" s="1"/>
  <c r="BK20" i="1" l="1"/>
  <c r="BK12" i="25"/>
  <c r="BK53" i="1" l="1"/>
  <c r="BK45" i="1"/>
  <c r="BK27" i="1"/>
  <c r="BK49" i="1" s="1"/>
  <c r="BK57" i="1" s="1"/>
  <c r="BK54" i="1" l="1"/>
  <c r="BK55" i="1" s="1"/>
  <c r="BK30" i="1"/>
  <c r="BK33" i="1" s="1"/>
  <c r="BK37" i="1" s="1"/>
  <c r="BK36" i="1" l="1"/>
  <c r="BK50" i="1"/>
  <c r="BI87" i="29"/>
  <c r="BD87" i="29"/>
  <c r="BD92" i="29" s="1"/>
  <c r="AY87" i="29"/>
  <c r="AT87" i="29"/>
  <c r="AO87" i="29"/>
  <c r="AO91" i="29" s="1"/>
  <c r="AJ87" i="29"/>
  <c r="AJ92" i="29" s="1"/>
  <c r="AE87" i="29"/>
  <c r="AE91" i="29" s="1"/>
  <c r="Z87" i="29"/>
  <c r="U87" i="29"/>
  <c r="U92" i="29" s="1"/>
  <c r="P87" i="29"/>
  <c r="P91" i="29" s="1"/>
  <c r="K87" i="29"/>
  <c r="F87" i="29"/>
  <c r="BI90" i="29" l="1"/>
  <c r="Z91" i="29"/>
  <c r="AE90" i="29"/>
  <c r="F90" i="29"/>
  <c r="BI92" i="29"/>
  <c r="AE92" i="29"/>
  <c r="K91" i="29"/>
  <c r="F92" i="29"/>
  <c r="AO92" i="29"/>
  <c r="AJ91" i="29"/>
  <c r="P90" i="29"/>
  <c r="BI91" i="29"/>
  <c r="Z90" i="29"/>
  <c r="Z92" i="29"/>
  <c r="K90" i="29"/>
  <c r="K92" i="29"/>
  <c r="F91" i="29"/>
  <c r="AO90" i="29"/>
  <c r="U91" i="29"/>
  <c r="P92" i="29"/>
  <c r="AJ90" i="29"/>
  <c r="U90" i="29"/>
  <c r="AT91" i="29"/>
  <c r="AT90" i="29"/>
  <c r="AT92" i="29"/>
  <c r="AY90" i="29"/>
  <c r="AY92" i="29"/>
  <c r="AY91" i="29"/>
  <c r="BD91" i="29"/>
  <c r="BD90" i="29"/>
  <c r="BI93" i="29" l="1"/>
  <c r="F93" i="29"/>
  <c r="K93" i="29"/>
  <c r="P93" i="29"/>
  <c r="U93" i="29"/>
  <c r="Z93" i="29"/>
  <c r="AE93" i="29"/>
  <c r="AJ93" i="29"/>
  <c r="AO93" i="29"/>
  <c r="AT93" i="29"/>
  <c r="AY93" i="29"/>
  <c r="BD93" i="29"/>
  <c r="BD17" i="1"/>
  <c r="BK76" i="29" l="1"/>
  <c r="BK77" i="29" l="1"/>
  <c r="BK48" i="32" l="1"/>
  <c r="BK47" i="32"/>
  <c r="BK46" i="32"/>
  <c r="BK17" i="32"/>
  <c r="BK61" i="32" l="1"/>
  <c r="BK60" i="32"/>
  <c r="BK51" i="32"/>
  <c r="BK43" i="32"/>
  <c r="BK44" i="32"/>
  <c r="BK66" i="32" s="1"/>
  <c r="BK42" i="32"/>
  <c r="BK41" i="32"/>
  <c r="BK40" i="32"/>
  <c r="BK39" i="32"/>
  <c r="BK38" i="32"/>
  <c r="BK28" i="32"/>
  <c r="BK29" i="32"/>
  <c r="BK30" i="32"/>
  <c r="BK31" i="32"/>
  <c r="BK32" i="32"/>
  <c r="BK34" i="32"/>
  <c r="BK27" i="32"/>
  <c r="BK23" i="32"/>
  <c r="BK22" i="32"/>
  <c r="BK21" i="32"/>
  <c r="BK20" i="32"/>
  <c r="BK19" i="32"/>
  <c r="BK18" i="32"/>
  <c r="BK15" i="32"/>
  <c r="BK16" i="32"/>
  <c r="BK13" i="32"/>
  <c r="BK11" i="32"/>
  <c r="BK8" i="32"/>
  <c r="BK35" i="32" l="1"/>
  <c r="BK49" i="32"/>
  <c r="BK65" i="32"/>
  <c r="BK52" i="29" l="1"/>
  <c r="BK57" i="29" l="1"/>
  <c r="BK58" i="29"/>
  <c r="BK59" i="29"/>
  <c r="BK60" i="29"/>
  <c r="BK56" i="29"/>
  <c r="BK61" i="29"/>
  <c r="BK55" i="29"/>
  <c r="BJ64" i="27" l="1"/>
  <c r="BF64" i="27"/>
  <c r="BE64" i="27"/>
  <c r="BH64" i="27"/>
  <c r="BI64" i="27" s="1"/>
  <c r="BG64" i="27"/>
  <c r="BC64" i="27"/>
  <c r="BD64" i="27" s="1"/>
  <c r="BB64" i="27"/>
  <c r="BN64" i="32"/>
  <c r="BI64" i="32"/>
  <c r="BD64" i="32" l="1"/>
  <c r="BH10" i="25" l="1"/>
  <c r="BH12" i="25" s="1"/>
  <c r="BG10" i="25"/>
  <c r="BG12" i="25" s="1"/>
  <c r="BF10" i="25"/>
  <c r="BF12" i="25" s="1"/>
  <c r="BE10" i="25"/>
  <c r="BE12" i="25" s="1"/>
  <c r="BH48" i="1"/>
  <c r="BG48" i="1"/>
  <c r="BF48" i="1"/>
  <c r="BE48" i="1"/>
  <c r="BH47" i="1"/>
  <c r="BG47" i="1"/>
  <c r="BF47" i="1"/>
  <c r="BE47" i="1"/>
  <c r="BH46" i="1"/>
  <c r="BG46" i="1"/>
  <c r="BF46" i="1"/>
  <c r="BE46" i="1"/>
  <c r="BI32" i="1"/>
  <c r="BI31" i="1"/>
  <c r="BH25" i="1"/>
  <c r="BG25" i="1"/>
  <c r="BF25" i="1"/>
  <c r="BE25" i="1"/>
  <c r="BI24" i="1"/>
  <c r="BI23" i="1"/>
  <c r="BH18" i="1"/>
  <c r="BG18" i="1"/>
  <c r="BF18" i="1"/>
  <c r="BE18" i="1"/>
  <c r="BI12" i="1"/>
  <c r="BI11" i="1"/>
  <c r="BI10" i="1"/>
  <c r="BH7" i="1"/>
  <c r="BG7" i="1"/>
  <c r="BF7" i="1"/>
  <c r="BE7" i="1"/>
  <c r="BI6" i="1"/>
  <c r="BI5" i="1"/>
  <c r="BI25" i="1" l="1"/>
  <c r="BI47" i="1"/>
  <c r="BI48" i="1"/>
  <c r="BF44" i="1"/>
  <c r="BH44" i="1"/>
  <c r="BE44" i="1"/>
  <c r="BG20" i="1"/>
  <c r="BI46" i="1"/>
  <c r="BH20" i="1"/>
  <c r="BG44" i="1"/>
  <c r="BI18" i="1"/>
  <c r="BI7" i="1"/>
  <c r="BE20" i="1"/>
  <c r="BH57" i="1" l="1"/>
  <c r="BH53" i="1"/>
  <c r="BE53" i="1"/>
  <c r="BG57" i="1"/>
  <c r="BG53" i="1"/>
  <c r="BG54" i="1" s="1"/>
  <c r="BG55" i="1" s="1"/>
  <c r="BG45" i="1"/>
  <c r="BG27" i="1"/>
  <c r="BG49" i="1" s="1"/>
  <c r="BI44" i="1"/>
  <c r="BH45" i="1"/>
  <c r="BH27" i="1"/>
  <c r="BH49" i="1" s="1"/>
  <c r="BE45" i="1"/>
  <c r="BE27" i="1"/>
  <c r="BE49" i="1" s="1"/>
  <c r="BE57" i="1" s="1"/>
  <c r="BI20" i="1"/>
  <c r="BF27" i="1"/>
  <c r="BF49" i="1" s="1"/>
  <c r="BF45" i="1"/>
  <c r="BE54" i="1" l="1"/>
  <c r="BH54" i="1"/>
  <c r="BH55" i="1"/>
  <c r="BF54" i="1"/>
  <c r="BF55" i="1" s="1"/>
  <c r="BF57" i="1"/>
  <c r="BI57" i="1" s="1"/>
  <c r="BH30" i="1"/>
  <c r="BH33" i="1" s="1"/>
  <c r="BH37" i="1" s="1"/>
  <c r="BF30" i="1"/>
  <c r="BG30" i="1"/>
  <c r="BG33" i="1" s="1"/>
  <c r="BG37" i="1" s="1"/>
  <c r="BE30" i="1"/>
  <c r="BI27" i="1"/>
  <c r="BI49" i="1" s="1"/>
  <c r="BI45" i="1"/>
  <c r="BI53" i="1"/>
  <c r="BE55" i="1" l="1"/>
  <c r="BI55" i="1" s="1"/>
  <c r="BI54" i="1"/>
  <c r="BG36" i="1"/>
  <c r="BG50" i="1"/>
  <c r="BI30" i="1"/>
  <c r="BH36" i="1"/>
  <c r="BH50" i="1"/>
  <c r="BE33" i="1"/>
  <c r="BF37" i="1"/>
  <c r="BF50" i="1"/>
  <c r="BF36" i="1"/>
  <c r="BI33" i="1" l="1"/>
  <c r="BE37" i="1"/>
  <c r="BE50" i="1"/>
  <c r="BE36" i="1"/>
  <c r="BI37" i="1" l="1"/>
  <c r="BI50" i="1"/>
  <c r="BI36" i="1"/>
  <c r="BM13" i="29" l="1"/>
  <c r="BJ76" i="29"/>
  <c r="BN51" i="29"/>
  <c r="BN49" i="29"/>
  <c r="BN48" i="29"/>
  <c r="BM52" i="29"/>
  <c r="BN46" i="29"/>
  <c r="BJ31" i="29"/>
  <c r="BJ43" i="29" s="1"/>
  <c r="BK31" i="29"/>
  <c r="BL13" i="29"/>
  <c r="BK13" i="29"/>
  <c r="BJ13" i="29"/>
  <c r="BJ22" i="29" s="1"/>
  <c r="BN12" i="29"/>
  <c r="BN10" i="29"/>
  <c r="BN8" i="29"/>
  <c r="BN6" i="29"/>
  <c r="BJ61" i="32"/>
  <c r="BJ60" i="32"/>
  <c r="BJ51" i="32"/>
  <c r="BJ48" i="32"/>
  <c r="BN48" i="32" s="1"/>
  <c r="BJ47" i="32"/>
  <c r="BN47" i="32" s="1"/>
  <c r="BJ46" i="32"/>
  <c r="BN46" i="32" s="1"/>
  <c r="BJ44" i="32"/>
  <c r="BJ43" i="32"/>
  <c r="BJ42" i="32"/>
  <c r="BJ41" i="32"/>
  <c r="BJ40" i="32"/>
  <c r="BJ39" i="32"/>
  <c r="BJ38" i="32"/>
  <c r="BJ34" i="32"/>
  <c r="BJ32" i="32"/>
  <c r="BJ31" i="32"/>
  <c r="BJ30" i="32"/>
  <c r="BJ29" i="32"/>
  <c r="BJ28" i="32"/>
  <c r="BN28" i="32" s="1"/>
  <c r="BJ27" i="32"/>
  <c r="BJ23" i="32"/>
  <c r="BJ22" i="32"/>
  <c r="BJ21" i="32"/>
  <c r="BJ20" i="32"/>
  <c r="BJ19" i="32"/>
  <c r="BJ18" i="32"/>
  <c r="BN17" i="32"/>
  <c r="BJ16" i="32"/>
  <c r="BJ15" i="32"/>
  <c r="BJ13" i="32"/>
  <c r="BJ11" i="32"/>
  <c r="BJ8" i="32"/>
  <c r="BJ49" i="27"/>
  <c r="BJ35" i="27"/>
  <c r="BJ62" i="28"/>
  <c r="BJ61" i="28"/>
  <c r="BJ69" i="28"/>
  <c r="BJ60" i="28"/>
  <c r="BJ59" i="28"/>
  <c r="BJ10" i="28"/>
  <c r="BJ67" i="28"/>
  <c r="BN30" i="25"/>
  <c r="BN25" i="25"/>
  <c r="BN24" i="25"/>
  <c r="BN23" i="25"/>
  <c r="BN14" i="25"/>
  <c r="BN11" i="25"/>
  <c r="BN9" i="25"/>
  <c r="BN8" i="25"/>
  <c r="BN7" i="25"/>
  <c r="BL10" i="25"/>
  <c r="BJ10" i="25"/>
  <c r="BJ47" i="1"/>
  <c r="BN32" i="1"/>
  <c r="BJ48" i="1"/>
  <c r="BJ46" i="1"/>
  <c r="BJ68" i="28" l="1"/>
  <c r="BJ70" i="28" s="1"/>
  <c r="BM12" i="27"/>
  <c r="BM56" i="29"/>
  <c r="BM59" i="29"/>
  <c r="BM57" i="29"/>
  <c r="BM58" i="29"/>
  <c r="BM60" i="29"/>
  <c r="BM61" i="29"/>
  <c r="BM55" i="29"/>
  <c r="BM14" i="29"/>
  <c r="BM23" i="29"/>
  <c r="BM19" i="29"/>
  <c r="BM22" i="29"/>
  <c r="BM17" i="29"/>
  <c r="BM16" i="29"/>
  <c r="BM18" i="29"/>
  <c r="BM21" i="29"/>
  <c r="BM20" i="29"/>
  <c r="BL12" i="27"/>
  <c r="BJ12" i="27"/>
  <c r="BJ12" i="32" s="1"/>
  <c r="BK12" i="27"/>
  <c r="BL23" i="29"/>
  <c r="BL22" i="29"/>
  <c r="BL19" i="29"/>
  <c r="BL17" i="29"/>
  <c r="BL20" i="29"/>
  <c r="BL16" i="29"/>
  <c r="BL18" i="29"/>
  <c r="BL21" i="29"/>
  <c r="BL12" i="25"/>
  <c r="BJ77" i="29"/>
  <c r="BK78" i="29"/>
  <c r="BK43" i="29"/>
  <c r="BK39" i="29"/>
  <c r="BK34" i="29"/>
  <c r="BK21" i="29"/>
  <c r="BK17" i="29"/>
  <c r="BK20" i="29"/>
  <c r="BK16" i="29"/>
  <c r="BK23" i="29"/>
  <c r="BK19" i="29"/>
  <c r="BK18" i="29"/>
  <c r="BK22" i="29"/>
  <c r="BJ66" i="32"/>
  <c r="BJ34" i="29"/>
  <c r="BJ49" i="32"/>
  <c r="BJ35" i="32"/>
  <c r="BJ14" i="29"/>
  <c r="BJ19" i="29"/>
  <c r="BJ23" i="29"/>
  <c r="BL31" i="29"/>
  <c r="BJ52" i="29"/>
  <c r="BN7" i="29"/>
  <c r="BN9" i="29"/>
  <c r="BN11" i="29"/>
  <c r="BK14" i="29"/>
  <c r="BJ16" i="29"/>
  <c r="BJ20" i="29"/>
  <c r="BN26" i="29"/>
  <c r="BM31" i="29"/>
  <c r="BJ39" i="29"/>
  <c r="BJ17" i="29"/>
  <c r="BJ21" i="29"/>
  <c r="BN27" i="29"/>
  <c r="BN13" i="29"/>
  <c r="BN23" i="29" s="1"/>
  <c r="BJ18" i="29"/>
  <c r="BJ35" i="28"/>
  <c r="BJ39" i="28" s="1"/>
  <c r="BN10" i="25"/>
  <c r="BJ12" i="25"/>
  <c r="BN22" i="25"/>
  <c r="BN6" i="25"/>
  <c r="BJ7" i="1"/>
  <c r="BJ18" i="1"/>
  <c r="BJ25" i="1"/>
  <c r="BK12" i="32" l="1"/>
  <c r="BL12" i="32"/>
  <c r="BJ58" i="29"/>
  <c r="BJ59" i="29"/>
  <c r="BJ60" i="29"/>
  <c r="BJ56" i="29"/>
  <c r="BJ57" i="29"/>
  <c r="BN20" i="29"/>
  <c r="BN16" i="29"/>
  <c r="BN21" i="29"/>
  <c r="BN19" i="29"/>
  <c r="BN17" i="29"/>
  <c r="BN22" i="29"/>
  <c r="BM39" i="29"/>
  <c r="BM34" i="29"/>
  <c r="BM43" i="29"/>
  <c r="BN12" i="27"/>
  <c r="BM12" i="32"/>
  <c r="BK66" i="27"/>
  <c r="BK65" i="27" s="1"/>
  <c r="BN18" i="29"/>
  <c r="BL61" i="29"/>
  <c r="BL55" i="29"/>
  <c r="BL43" i="29"/>
  <c r="BL34" i="29"/>
  <c r="BL39" i="29"/>
  <c r="BJ78" i="29"/>
  <c r="BK80" i="29"/>
  <c r="BK79" i="29"/>
  <c r="BN12" i="25"/>
  <c r="BJ66" i="27"/>
  <c r="BJ65" i="32"/>
  <c r="BJ65" i="27" s="1"/>
  <c r="BJ55" i="29"/>
  <c r="BN52" i="29"/>
  <c r="BN31" i="29"/>
  <c r="BN39" i="29" s="1"/>
  <c r="BJ61" i="29"/>
  <c r="BJ20" i="1"/>
  <c r="BJ44" i="1"/>
  <c r="BJ53" i="1" l="1"/>
  <c r="BN12" i="32"/>
  <c r="BN56" i="29"/>
  <c r="BN59" i="29"/>
  <c r="BN60" i="29"/>
  <c r="BN57" i="29"/>
  <c r="BN58" i="29"/>
  <c r="BN61" i="29"/>
  <c r="BN55" i="29"/>
  <c r="BJ79" i="29"/>
  <c r="BJ80" i="29"/>
  <c r="BK81" i="29"/>
  <c r="BN34" i="29"/>
  <c r="BN38" i="29" s="1"/>
  <c r="BN40" i="29"/>
  <c r="BN43" i="29"/>
  <c r="BN42" i="29"/>
  <c r="BN41" i="29"/>
  <c r="BJ27" i="1"/>
  <c r="BJ49" i="1" s="1"/>
  <c r="BJ57" i="1" s="1"/>
  <c r="BN57" i="1" s="1"/>
  <c r="BJ45" i="1"/>
  <c r="BC8" i="27"/>
  <c r="BB8" i="27"/>
  <c r="BA8" i="27"/>
  <c r="AZ8" i="27"/>
  <c r="AX8" i="27"/>
  <c r="AW8" i="27"/>
  <c r="AV8" i="27"/>
  <c r="AU8" i="27"/>
  <c r="BJ54" i="1" l="1"/>
  <c r="BJ55" i="1" s="1"/>
  <c r="BN27" i="1"/>
  <c r="BN49" i="1" s="1"/>
  <c r="BJ30" i="1"/>
  <c r="BN30" i="1" s="1"/>
  <c r="BJ81" i="29"/>
  <c r="BJ6" i="27" l="1"/>
  <c r="BK6" i="27" s="1"/>
  <c r="BK24" i="27" s="1"/>
  <c r="BK53" i="27" s="1"/>
  <c r="BJ24" i="27"/>
  <c r="BJ53" i="27" s="1"/>
  <c r="BJ6" i="32"/>
  <c r="BJ33" i="1"/>
  <c r="BK6" i="32" l="1"/>
  <c r="BK24" i="32" s="1"/>
  <c r="BK53" i="32" s="1"/>
  <c r="BJ24" i="32"/>
  <c r="BJ50" i="1"/>
  <c r="BJ37" i="1"/>
  <c r="BJ36" i="1"/>
  <c r="BJ53" i="32" l="1"/>
  <c r="BD71" i="29"/>
  <c r="BI68" i="29" l="1"/>
  <c r="BI66" i="29"/>
  <c r="AO12" i="29" l="1"/>
  <c r="AO11" i="29"/>
  <c r="AO10" i="29"/>
  <c r="AO9" i="29"/>
  <c r="AO8" i="29"/>
  <c r="AO7" i="29"/>
  <c r="AO6" i="29"/>
  <c r="AN13" i="29"/>
  <c r="AN22" i="29" s="1"/>
  <c r="AM13" i="29"/>
  <c r="AM23" i="29" s="1"/>
  <c r="AL13" i="29"/>
  <c r="AL14" i="29" s="1"/>
  <c r="AK13" i="29"/>
  <c r="AK21" i="29" s="1"/>
  <c r="AT12" i="29"/>
  <c r="AT11" i="29"/>
  <c r="AT10" i="29"/>
  <c r="AT9" i="29"/>
  <c r="AT8" i="29"/>
  <c r="AT7" i="29"/>
  <c r="AT6" i="29"/>
  <c r="AS13" i="29"/>
  <c r="AS20" i="29" s="1"/>
  <c r="AR13" i="29"/>
  <c r="AR21" i="29" s="1"/>
  <c r="AQ13" i="29"/>
  <c r="AQ14" i="29" s="1"/>
  <c r="AP13" i="29"/>
  <c r="AP14" i="29" s="1"/>
  <c r="AQ17" i="29" l="1"/>
  <c r="AS18" i="29"/>
  <c r="AK19" i="29"/>
  <c r="AQ20" i="29"/>
  <c r="AS22" i="29"/>
  <c r="AL18" i="29"/>
  <c r="AP21" i="29"/>
  <c r="AM21" i="29"/>
  <c r="AM17" i="29"/>
  <c r="AL22" i="29"/>
  <c r="AQ16" i="29"/>
  <c r="AK14" i="29"/>
  <c r="AK23" i="29"/>
  <c r="AP17" i="29"/>
  <c r="AR19" i="29"/>
  <c r="AN16" i="29"/>
  <c r="AS14" i="29"/>
  <c r="AP16" i="29"/>
  <c r="AS17" i="29"/>
  <c r="AR18" i="29"/>
  <c r="AQ19" i="29"/>
  <c r="AP20" i="29"/>
  <c r="AS21" i="29"/>
  <c r="AR22" i="29"/>
  <c r="AQ23" i="29"/>
  <c r="AM16" i="29"/>
  <c r="AL17" i="29"/>
  <c r="AK18" i="29"/>
  <c r="AN19" i="29"/>
  <c r="AM20" i="29"/>
  <c r="AL21" i="29"/>
  <c r="AK22" i="29"/>
  <c r="AN23" i="29"/>
  <c r="AR23" i="29"/>
  <c r="AR16" i="29"/>
  <c r="AP18" i="29"/>
  <c r="AS19" i="29"/>
  <c r="AR20" i="29"/>
  <c r="AQ21" i="29"/>
  <c r="AP22" i="29"/>
  <c r="AS23" i="29"/>
  <c r="AN14" i="29"/>
  <c r="AK16" i="29"/>
  <c r="AN17" i="29"/>
  <c r="AM18" i="29"/>
  <c r="AL19" i="29"/>
  <c r="AK20" i="29"/>
  <c r="AN21" i="29"/>
  <c r="AM22" i="29"/>
  <c r="AL23" i="29"/>
  <c r="AN20" i="29"/>
  <c r="AR14" i="29"/>
  <c r="AS16" i="29"/>
  <c r="AR17" i="29"/>
  <c r="AQ18" i="29"/>
  <c r="AP19" i="29"/>
  <c r="AQ22" i="29"/>
  <c r="AP23" i="29"/>
  <c r="AM14" i="29"/>
  <c r="AL16" i="29"/>
  <c r="AK17" i="29"/>
  <c r="AN18" i="29"/>
  <c r="AM19" i="29"/>
  <c r="AL20" i="29"/>
  <c r="AY51" i="29"/>
  <c r="AY49" i="29"/>
  <c r="AY48" i="29"/>
  <c r="AY46" i="29"/>
  <c r="AT51" i="29"/>
  <c r="AT49" i="29"/>
  <c r="AT48" i="29"/>
  <c r="AN52" i="29"/>
  <c r="AM52" i="29"/>
  <c r="AL52" i="29"/>
  <c r="AK52" i="29"/>
  <c r="AO51" i="29"/>
  <c r="AO49" i="29"/>
  <c r="AO48" i="29"/>
  <c r="AO46" i="29"/>
  <c r="AO52" i="29" l="1"/>
  <c r="AO57" i="29" s="1"/>
  <c r="AO60" i="29" l="1"/>
  <c r="AO58" i="29"/>
  <c r="AO56" i="29"/>
  <c r="AO59" i="29"/>
  <c r="AT46" i="29"/>
  <c r="BD51" i="29" l="1"/>
  <c r="BD49" i="29"/>
  <c r="BD48" i="29"/>
  <c r="BD46" i="29"/>
  <c r="BH52" i="29" l="1"/>
  <c r="BH60" i="29" l="1"/>
  <c r="BH57" i="29"/>
  <c r="BH56" i="29"/>
  <c r="BH58" i="29"/>
  <c r="BH59" i="29"/>
  <c r="BH13" i="29"/>
  <c r="BH31" i="29" l="1"/>
  <c r="BH43" i="29" l="1"/>
  <c r="BH39" i="29"/>
  <c r="BH34" i="29"/>
  <c r="BH48" i="32" l="1"/>
  <c r="BH47" i="32"/>
  <c r="BH46" i="32"/>
  <c r="BI48" i="27" l="1"/>
  <c r="BI47" i="27"/>
  <c r="BI46" i="27"/>
  <c r="BI41" i="28"/>
  <c r="BI58" i="28"/>
  <c r="BI47" i="28"/>
  <c r="BI13" i="28"/>
  <c r="BI12" i="28"/>
  <c r="BH62" i="28" l="1"/>
  <c r="BI62" i="28" s="1"/>
  <c r="BH10" i="28"/>
  <c r="BI11" i="28"/>
  <c r="BI28" i="27"/>
  <c r="BI10" i="28" l="1"/>
  <c r="BH68" i="28"/>
  <c r="BH16" i="29"/>
  <c r="BH17" i="29"/>
  <c r="BH18" i="29"/>
  <c r="BH19" i="29"/>
  <c r="BH20" i="29"/>
  <c r="BH21" i="29"/>
  <c r="BH22" i="29"/>
  <c r="BH23" i="29"/>
  <c r="BH61" i="29" l="1"/>
  <c r="BH55" i="29"/>
  <c r="F100" i="29" l="1"/>
  <c r="K100" i="29"/>
  <c r="P100" i="29"/>
  <c r="U100" i="29"/>
  <c r="Z100" i="29"/>
  <c r="AE100" i="29"/>
  <c r="AJ100" i="29"/>
  <c r="AO100" i="29"/>
  <c r="AT100" i="29"/>
  <c r="AY100" i="29"/>
  <c r="BI100" i="29"/>
  <c r="BD100" i="29"/>
  <c r="BI106" i="29" l="1"/>
  <c r="K68" i="29" l="1"/>
  <c r="P68" i="29"/>
  <c r="U68" i="29"/>
  <c r="Z68" i="29"/>
  <c r="AE68" i="29"/>
  <c r="AJ68" i="29"/>
  <c r="AO68" i="29"/>
  <c r="AT68" i="29"/>
  <c r="AY68" i="29"/>
  <c r="BD68" i="29"/>
  <c r="B15" i="27"/>
  <c r="B15" i="32" s="1"/>
  <c r="B12" i="25"/>
  <c r="BG17" i="32" l="1"/>
  <c r="BG46" i="32"/>
  <c r="BG47" i="32"/>
  <c r="BG48" i="32"/>
  <c r="BG41" i="32" l="1"/>
  <c r="BG28" i="32"/>
  <c r="BH28" i="32"/>
  <c r="BG31" i="29"/>
  <c r="BG39" i="29" s="1"/>
  <c r="BG13" i="29"/>
  <c r="BG17" i="29" s="1"/>
  <c r="BG52" i="29"/>
  <c r="BG49" i="27"/>
  <c r="BG35" i="27"/>
  <c r="BG62" i="28"/>
  <c r="BG61" i="28"/>
  <c r="BG60" i="28"/>
  <c r="BG59" i="28"/>
  <c r="BG35" i="28"/>
  <c r="BG39" i="28" s="1"/>
  <c r="BG10" i="28"/>
  <c r="BI22" i="25"/>
  <c r="BG68" i="28" l="1"/>
  <c r="BG61" i="29"/>
  <c r="BG56" i="29"/>
  <c r="BG58" i="29"/>
  <c r="BG57" i="29"/>
  <c r="BG59" i="29"/>
  <c r="BG60" i="29"/>
  <c r="BG43" i="29"/>
  <c r="BG34" i="29"/>
  <c r="BG20" i="29"/>
  <c r="BG21" i="29"/>
  <c r="BG22" i="29"/>
  <c r="BG16" i="29"/>
  <c r="BG23" i="29"/>
  <c r="BG18" i="29"/>
  <c r="BG19" i="29"/>
  <c r="BG55" i="29"/>
  <c r="BG14" i="29" l="1"/>
  <c r="BG67" i="28" l="1"/>
  <c r="BG76" i="29"/>
  <c r="BG69" i="28"/>
  <c r="BG78" i="29" l="1"/>
  <c r="BG77" i="29"/>
  <c r="BG70" i="28"/>
  <c r="BG80" i="29" l="1"/>
  <c r="BG79" i="29"/>
  <c r="BG81" i="29" l="1"/>
  <c r="O71" i="29" l="1"/>
  <c r="O76" i="29" s="1"/>
  <c r="O77" i="29" s="1"/>
  <c r="N76" i="29"/>
  <c r="N77" i="29" s="1"/>
  <c r="M76" i="29"/>
  <c r="M77" i="29" s="1"/>
  <c r="L76" i="29"/>
  <c r="L77" i="29" s="1"/>
  <c r="T73" i="29"/>
  <c r="T76" i="29"/>
  <c r="T77" i="29" s="1"/>
  <c r="S76" i="29"/>
  <c r="R76" i="29"/>
  <c r="R77" i="29" s="1"/>
  <c r="Q76" i="29"/>
  <c r="Q77" i="29" s="1"/>
  <c r="Q73" i="29"/>
  <c r="X76" i="29"/>
  <c r="X77" i="29" s="1"/>
  <c r="W76" i="29"/>
  <c r="W77" i="29" s="1"/>
  <c r="V76" i="29"/>
  <c r="V77" i="29" s="1"/>
  <c r="Y76" i="29"/>
  <c r="Y77" i="29" s="1"/>
  <c r="P76" i="29" l="1"/>
  <c r="U76" i="29"/>
  <c r="S77" i="29"/>
  <c r="Z76" i="29"/>
  <c r="AC76" i="29"/>
  <c r="AC77" i="29" s="1"/>
  <c r="AB76" i="29"/>
  <c r="AB77" i="29" s="1"/>
  <c r="AA76" i="29"/>
  <c r="AA77" i="29" s="1"/>
  <c r="AD76" i="29"/>
  <c r="AH76" i="29"/>
  <c r="AH77" i="29" s="1"/>
  <c r="AG76" i="29"/>
  <c r="AG77" i="29" s="1"/>
  <c r="AF76" i="29"/>
  <c r="AF77" i="29" s="1"/>
  <c r="AI76" i="29"/>
  <c r="AI77" i="29" s="1"/>
  <c r="AM76" i="29"/>
  <c r="AM77" i="29" s="1"/>
  <c r="AL76" i="29"/>
  <c r="AL77" i="29" s="1"/>
  <c r="AK76" i="29"/>
  <c r="AK77" i="29" s="1"/>
  <c r="AN73" i="29"/>
  <c r="AN72" i="29"/>
  <c r="AN71" i="29"/>
  <c r="AN76" i="29" s="1"/>
  <c r="AN77" i="29" s="1"/>
  <c r="AR76" i="29"/>
  <c r="AR77" i="29" s="1"/>
  <c r="AQ76" i="29"/>
  <c r="AQ77" i="29" s="1"/>
  <c r="AP76" i="29"/>
  <c r="AP77" i="29" s="1"/>
  <c r="AS76" i="29"/>
  <c r="AS77" i="29" s="1"/>
  <c r="BB76" i="29"/>
  <c r="BA76" i="29"/>
  <c r="AZ76" i="29"/>
  <c r="BC76" i="29"/>
  <c r="AW76" i="29"/>
  <c r="AW77" i="29" s="1"/>
  <c r="AV76" i="29"/>
  <c r="AV77" i="29" s="1"/>
  <c r="AU76" i="29"/>
  <c r="BC77" i="29" l="1"/>
  <c r="AZ77" i="29"/>
  <c r="BA77" i="29"/>
  <c r="AU77" i="29"/>
  <c r="AD77" i="29"/>
  <c r="AE76" i="29"/>
  <c r="AJ76" i="29"/>
  <c r="AO76" i="29"/>
  <c r="AT76" i="29"/>
  <c r="BB77" i="29"/>
  <c r="BD76" i="29"/>
  <c r="BE76" i="29" l="1"/>
  <c r="BE77" i="29" l="1"/>
  <c r="BD30" i="28"/>
  <c r="BD31" i="28"/>
  <c r="BD32" i="28"/>
  <c r="BD33" i="28"/>
  <c r="AY30" i="28"/>
  <c r="AY31" i="28"/>
  <c r="AY32" i="28"/>
  <c r="AY33" i="28"/>
  <c r="AT30" i="28"/>
  <c r="AT31" i="28"/>
  <c r="AT32" i="28"/>
  <c r="AT33" i="28"/>
  <c r="AO30" i="28"/>
  <c r="AO31" i="28"/>
  <c r="AO32" i="28"/>
  <c r="AO33" i="28"/>
  <c r="AJ30" i="28"/>
  <c r="AJ31" i="28"/>
  <c r="AJ32" i="28"/>
  <c r="AJ33" i="28"/>
  <c r="F32" i="28"/>
  <c r="F31" i="28"/>
  <c r="F30" i="28"/>
  <c r="K32" i="28"/>
  <c r="K31" i="28"/>
  <c r="K30" i="28"/>
  <c r="P32" i="28"/>
  <c r="P31" i="28"/>
  <c r="P30" i="28"/>
  <c r="U32" i="28"/>
  <c r="U31" i="28"/>
  <c r="U30" i="28"/>
  <c r="Z30" i="28"/>
  <c r="Z31" i="28"/>
  <c r="Z32" i="28"/>
  <c r="AE30" i="28"/>
  <c r="AE31" i="28"/>
  <c r="AE32" i="28"/>
  <c r="AE33" i="28"/>
  <c r="BI51" i="29" l="1"/>
  <c r="BI27" i="29"/>
  <c r="BI26" i="29"/>
  <c r="BI11" i="29"/>
  <c r="BI10" i="29"/>
  <c r="BI8" i="29"/>
  <c r="BI9" i="29"/>
  <c r="BI48" i="29" l="1"/>
  <c r="BI46" i="29"/>
  <c r="BI49" i="29"/>
  <c r="BF13" i="29"/>
  <c r="BF17" i="29" s="1"/>
  <c r="BI7" i="29"/>
  <c r="BI12" i="29"/>
  <c r="BI6" i="29"/>
  <c r="BF31" i="29"/>
  <c r="BF52" i="29"/>
  <c r="BI31" i="29"/>
  <c r="BI40" i="29" s="1"/>
  <c r="BF62" i="28"/>
  <c r="BF48" i="32"/>
  <c r="BF47" i="32"/>
  <c r="BF46" i="32"/>
  <c r="BF41" i="32"/>
  <c r="BF28" i="32"/>
  <c r="BF17" i="32"/>
  <c r="BI17" i="32" s="1"/>
  <c r="BA8" i="32"/>
  <c r="BF58" i="29" l="1"/>
  <c r="BF56" i="29"/>
  <c r="BF57" i="29"/>
  <c r="BF60" i="29"/>
  <c r="BF59" i="29"/>
  <c r="BF10" i="28"/>
  <c r="BF68" i="28" s="1"/>
  <c r="BF21" i="29"/>
  <c r="BF23" i="29"/>
  <c r="BF20" i="29"/>
  <c r="BF19" i="29"/>
  <c r="BF18" i="29"/>
  <c r="BF16" i="29"/>
  <c r="BF22" i="29"/>
  <c r="BI43" i="29"/>
  <c r="BI39" i="29"/>
  <c r="BI34" i="29"/>
  <c r="BI38" i="29" s="1"/>
  <c r="BF43" i="29"/>
  <c r="BF34" i="29"/>
  <c r="BI41" i="29"/>
  <c r="BF61" i="29"/>
  <c r="BF55" i="29"/>
  <c r="BI42" i="29"/>
  <c r="BI52" i="29"/>
  <c r="BI57" i="29" s="1"/>
  <c r="BF39" i="29"/>
  <c r="BI55" i="29" l="1"/>
  <c r="BI56" i="29"/>
  <c r="BI59" i="29"/>
  <c r="BI60" i="29"/>
  <c r="BI58" i="29"/>
  <c r="BI61" i="29"/>
  <c r="BG15" i="32"/>
  <c r="BG51" i="32" l="1"/>
  <c r="BG43" i="32"/>
  <c r="BG34" i="32"/>
  <c r="BF61" i="28" l="1"/>
  <c r="BG21" i="32" l="1"/>
  <c r="BG19" i="32"/>
  <c r="BF60" i="28"/>
  <c r="BF59" i="28" l="1"/>
  <c r="BF35" i="28"/>
  <c r="BF39" i="28" s="1"/>
  <c r="BG61" i="32" l="1"/>
  <c r="BG60" i="32"/>
  <c r="BG44" i="32"/>
  <c r="BG66" i="32" s="1"/>
  <c r="BG65" i="32" s="1"/>
  <c r="BG13" i="32" l="1"/>
  <c r="BG20" i="32"/>
  <c r="BG27" i="32"/>
  <c r="BG8" i="32"/>
  <c r="BG22" i="32"/>
  <c r="BG29" i="32"/>
  <c r="BG38" i="32"/>
  <c r="BG42" i="32"/>
  <c r="BG11" i="32"/>
  <c r="BG16" i="32"/>
  <c r="BG23" i="32"/>
  <c r="BG30" i="32"/>
  <c r="BG39" i="32"/>
  <c r="BG18" i="32"/>
  <c r="BG31" i="32"/>
  <c r="BF40" i="32" l="1"/>
  <c r="BG40" i="32"/>
  <c r="BF32" i="32"/>
  <c r="BG32" i="32"/>
  <c r="BF49" i="27"/>
  <c r="BG49" i="32" l="1"/>
  <c r="BG35" i="32"/>
  <c r="BI30" i="25"/>
  <c r="BI24" i="25"/>
  <c r="BI23" i="25"/>
  <c r="BI20" i="25"/>
  <c r="BI11" i="25"/>
  <c r="BI9" i="25"/>
  <c r="BI8" i="25"/>
  <c r="BI7" i="25"/>
  <c r="BI25" i="25"/>
  <c r="BI34" i="25" l="1"/>
  <c r="BF14" i="29"/>
  <c r="BF76" i="29"/>
  <c r="BF67" i="28"/>
  <c r="BF69" i="28"/>
  <c r="BF35" i="27"/>
  <c r="BI6" i="25"/>
  <c r="BF77" i="29" l="1"/>
  <c r="BF78" i="29"/>
  <c r="BF70" i="28"/>
  <c r="BF80" i="29" l="1"/>
  <c r="BF79" i="29"/>
  <c r="BF81" i="29" l="1"/>
  <c r="BF61" i="32" l="1"/>
  <c r="BF60" i="32"/>
  <c r="BF51" i="32"/>
  <c r="BF44" i="32"/>
  <c r="BF66" i="32" s="1"/>
  <c r="BF65" i="32" s="1"/>
  <c r="BF43" i="32"/>
  <c r="BF42" i="32"/>
  <c r="BF39" i="32"/>
  <c r="BF38" i="32"/>
  <c r="BF34" i="32"/>
  <c r="BF31" i="32"/>
  <c r="BF30" i="32"/>
  <c r="BF29" i="32"/>
  <c r="BF27" i="32"/>
  <c r="BF23" i="32"/>
  <c r="BF22" i="32"/>
  <c r="BF21" i="32"/>
  <c r="BF20" i="32"/>
  <c r="BF19" i="32"/>
  <c r="BF18" i="32"/>
  <c r="BF16" i="32"/>
  <c r="BF15" i="32"/>
  <c r="BF13" i="32"/>
  <c r="BF11" i="32"/>
  <c r="BF8" i="32"/>
  <c r="BF35" i="32" l="1"/>
  <c r="BF49" i="32"/>
  <c r="BD14" i="25" l="1"/>
  <c r="E69" i="28" l="1"/>
  <c r="D69" i="28"/>
  <c r="C69" i="28"/>
  <c r="E67" i="28"/>
  <c r="D67" i="28"/>
  <c r="C67" i="28"/>
  <c r="J69" i="28"/>
  <c r="I69" i="28"/>
  <c r="H69" i="28"/>
  <c r="G69" i="28"/>
  <c r="J67" i="28"/>
  <c r="I67" i="28"/>
  <c r="H67" i="28"/>
  <c r="G67" i="28"/>
  <c r="O69" i="28"/>
  <c r="N69" i="28"/>
  <c r="M69" i="28"/>
  <c r="L69" i="28"/>
  <c r="O67" i="28"/>
  <c r="N67" i="28"/>
  <c r="M67" i="28"/>
  <c r="L67" i="28"/>
  <c r="T69" i="28"/>
  <c r="S69" i="28"/>
  <c r="R69" i="28"/>
  <c r="Q69" i="28"/>
  <c r="T67" i="28"/>
  <c r="S67" i="28"/>
  <c r="R67" i="28"/>
  <c r="Q67" i="28"/>
  <c r="Y69" i="28"/>
  <c r="X69" i="28"/>
  <c r="W69" i="28"/>
  <c r="V69" i="28"/>
  <c r="Y67" i="28"/>
  <c r="X67" i="28"/>
  <c r="W67" i="28"/>
  <c r="V67" i="28"/>
  <c r="AD69" i="28"/>
  <c r="AC69" i="28"/>
  <c r="AB69" i="28"/>
  <c r="AA69" i="28"/>
  <c r="AD67" i="28"/>
  <c r="AC67" i="28"/>
  <c r="AB67" i="28"/>
  <c r="AA67" i="28"/>
  <c r="AI69" i="28"/>
  <c r="AH69" i="28"/>
  <c r="AG69" i="28"/>
  <c r="AF69" i="28"/>
  <c r="AI67" i="28"/>
  <c r="AH67" i="28"/>
  <c r="AG67" i="28"/>
  <c r="AF67" i="28"/>
  <c r="AN69" i="28"/>
  <c r="AM69" i="28"/>
  <c r="AL69" i="28"/>
  <c r="AK69" i="28"/>
  <c r="AN67" i="28"/>
  <c r="AM67" i="28"/>
  <c r="AL67" i="28"/>
  <c r="AK67" i="28"/>
  <c r="AS69" i="28"/>
  <c r="AR69" i="28"/>
  <c r="AQ69" i="28"/>
  <c r="AP69" i="28"/>
  <c r="AS67" i="28"/>
  <c r="AR67" i="28"/>
  <c r="AQ67" i="28"/>
  <c r="AP67" i="28"/>
  <c r="AX69" i="28"/>
  <c r="AW69" i="28"/>
  <c r="AV69" i="28"/>
  <c r="AU69" i="28"/>
  <c r="AX67" i="28"/>
  <c r="AW67" i="28"/>
  <c r="AV67" i="28"/>
  <c r="AU67" i="28"/>
  <c r="AF37" i="28"/>
  <c r="AG37" i="28"/>
  <c r="AH37" i="28"/>
  <c r="AI37" i="28"/>
  <c r="AK37" i="28"/>
  <c r="AL37" i="28"/>
  <c r="AM37" i="28"/>
  <c r="AN37" i="28"/>
  <c r="AP37" i="28"/>
  <c r="AQ37" i="28"/>
  <c r="AR37" i="28"/>
  <c r="AS37" i="28"/>
  <c r="AU37" i="28"/>
  <c r="AV37" i="28"/>
  <c r="AW37" i="28"/>
  <c r="AX37" i="28"/>
  <c r="AZ37" i="28"/>
  <c r="BA37" i="28"/>
  <c r="BB37" i="28"/>
  <c r="AD37" i="28"/>
  <c r="AC37" i="28"/>
  <c r="AB37" i="28"/>
  <c r="AA37" i="28"/>
  <c r="Y37" i="28"/>
  <c r="X37" i="28"/>
  <c r="W37" i="28"/>
  <c r="V37" i="28"/>
  <c r="T37" i="28"/>
  <c r="S37" i="28"/>
  <c r="R37" i="28"/>
  <c r="Q37" i="28"/>
  <c r="O37" i="28"/>
  <c r="N37" i="28"/>
  <c r="M37" i="28"/>
  <c r="L37" i="28"/>
  <c r="BB18" i="28"/>
  <c r="BA18" i="28"/>
  <c r="AZ18" i="28"/>
  <c r="AX18" i="28"/>
  <c r="AW18" i="28"/>
  <c r="AV18" i="28"/>
  <c r="AU18" i="28"/>
  <c r="AR18" i="28"/>
  <c r="AS18" i="28"/>
  <c r="AT18" i="28" s="1"/>
  <c r="AQ18" i="28"/>
  <c r="AP18" i="28"/>
  <c r="AN18" i="28"/>
  <c r="AO18" i="28" s="1"/>
  <c r="AM18" i="28"/>
  <c r="AL18" i="28"/>
  <c r="AK18" i="28"/>
  <c r="AI18" i="28"/>
  <c r="AH18" i="28"/>
  <c r="AG18" i="28"/>
  <c r="AF18" i="28"/>
  <c r="AD18" i="28"/>
  <c r="AC18" i="28"/>
  <c r="AB18" i="28"/>
  <c r="AA18" i="28"/>
  <c r="Y18" i="28"/>
  <c r="X18" i="28"/>
  <c r="W18" i="28"/>
  <c r="V18" i="28"/>
  <c r="T18" i="28"/>
  <c r="S18" i="28"/>
  <c r="R18" i="28"/>
  <c r="Q18" i="28"/>
  <c r="O18" i="28"/>
  <c r="N18" i="28"/>
  <c r="M18" i="28"/>
  <c r="L18" i="28"/>
  <c r="J18" i="28"/>
  <c r="I18" i="28"/>
  <c r="H18" i="28"/>
  <c r="G18" i="28"/>
  <c r="E18" i="28"/>
  <c r="BE48" i="32" l="1"/>
  <c r="BI48" i="32" s="1"/>
  <c r="BE47" i="32"/>
  <c r="BI47" i="32" s="1"/>
  <c r="BE46" i="32"/>
  <c r="BI46" i="32" s="1"/>
  <c r="BE41" i="32"/>
  <c r="BE40" i="32"/>
  <c r="BE32" i="32"/>
  <c r="BE28" i="32"/>
  <c r="BI28" i="32" s="1"/>
  <c r="BE31" i="29" l="1"/>
  <c r="BE39" i="29" s="1"/>
  <c r="BE52" i="29"/>
  <c r="BE13" i="29"/>
  <c r="BA67" i="28"/>
  <c r="BB67" i="28"/>
  <c r="BC67" i="28"/>
  <c r="AZ67" i="28"/>
  <c r="BE59" i="29" l="1"/>
  <c r="BE56" i="29"/>
  <c r="BE57" i="29"/>
  <c r="BE60" i="29"/>
  <c r="BE58" i="29"/>
  <c r="BE34" i="29"/>
  <c r="BE23" i="29"/>
  <c r="BI13" i="29"/>
  <c r="BE43" i="29"/>
  <c r="BE55" i="29"/>
  <c r="BE15" i="32"/>
  <c r="BE20" i="32"/>
  <c r="BE27" i="32"/>
  <c r="BE34" i="32"/>
  <c r="BE61" i="32"/>
  <c r="BE8" i="32"/>
  <c r="BE16" i="32"/>
  <c r="BE21" i="32"/>
  <c r="BE29" i="32"/>
  <c r="BE38" i="32"/>
  <c r="BE43" i="32"/>
  <c r="BE11" i="32"/>
  <c r="BE18" i="32"/>
  <c r="BE22" i="32"/>
  <c r="BE30" i="32"/>
  <c r="BE39" i="32"/>
  <c r="BE51" i="32"/>
  <c r="BE13" i="32"/>
  <c r="BE19" i="32"/>
  <c r="BE23" i="32"/>
  <c r="BE31" i="32"/>
  <c r="BE42" i="32"/>
  <c r="BE60" i="32"/>
  <c r="BE61" i="29"/>
  <c r="BE44" i="32"/>
  <c r="BE66" i="32" s="1"/>
  <c r="BE18" i="29"/>
  <c r="BE19" i="29"/>
  <c r="BE20" i="29"/>
  <c r="BE22" i="29"/>
  <c r="BE17" i="29"/>
  <c r="BE16" i="29"/>
  <c r="BE21" i="29"/>
  <c r="BE49" i="27"/>
  <c r="BE35" i="27"/>
  <c r="BE66" i="27" l="1"/>
  <c r="BE65" i="27" s="1"/>
  <c r="BF66" i="27"/>
  <c r="BF65" i="27" s="1"/>
  <c r="BG66" i="27"/>
  <c r="BG65" i="27" s="1"/>
  <c r="BE65" i="32"/>
  <c r="BI23" i="29"/>
  <c r="BI17" i="29"/>
  <c r="BI18" i="29"/>
  <c r="BI22" i="29"/>
  <c r="BI19" i="29"/>
  <c r="BI21" i="29"/>
  <c r="BI16" i="29"/>
  <c r="BI20" i="29"/>
  <c r="BE35" i="32"/>
  <c r="BE49" i="32"/>
  <c r="AZ69" i="28" l="1"/>
  <c r="BE62" i="28"/>
  <c r="BE61" i="28"/>
  <c r="BE60" i="28"/>
  <c r="BE59" i="28"/>
  <c r="BE35" i="28"/>
  <c r="BE39" i="28" s="1"/>
  <c r="BE10" i="28"/>
  <c r="BE68" i="28" s="1"/>
  <c r="BE78" i="29" l="1"/>
  <c r="BE69" i="28"/>
  <c r="BE67" i="28"/>
  <c r="BE14" i="29"/>
  <c r="BH12" i="27"/>
  <c r="BI12" i="27" s="1"/>
  <c r="BI10" i="25" l="1"/>
  <c r="BG12" i="27"/>
  <c r="BH12" i="32" s="1"/>
  <c r="BF12" i="27"/>
  <c r="BE80" i="29"/>
  <c r="BE79" i="29"/>
  <c r="BE70" i="28"/>
  <c r="BI12" i="25"/>
  <c r="BE12" i="27"/>
  <c r="C22" i="28"/>
  <c r="G12" i="27"/>
  <c r="G12" i="32" s="1"/>
  <c r="H10" i="25"/>
  <c r="B12" i="27"/>
  <c r="C10" i="25"/>
  <c r="F54" i="32"/>
  <c r="B54" i="32"/>
  <c r="E61" i="32"/>
  <c r="D61" i="32"/>
  <c r="E60" i="32"/>
  <c r="D60" i="32"/>
  <c r="E51" i="32"/>
  <c r="D51" i="32"/>
  <c r="C51" i="32"/>
  <c r="B51" i="32"/>
  <c r="C48" i="32"/>
  <c r="B48" i="32"/>
  <c r="E47" i="32"/>
  <c r="D47" i="32"/>
  <c r="C47" i="32"/>
  <c r="B47" i="32"/>
  <c r="E46" i="32"/>
  <c r="D46" i="32"/>
  <c r="C46" i="32"/>
  <c r="B46" i="32"/>
  <c r="E44" i="32"/>
  <c r="D44" i="32"/>
  <c r="C44" i="32"/>
  <c r="B44" i="32"/>
  <c r="E43" i="32"/>
  <c r="D43" i="32"/>
  <c r="C43" i="32"/>
  <c r="B43" i="32"/>
  <c r="E42" i="32"/>
  <c r="D42" i="32"/>
  <c r="C42" i="32"/>
  <c r="B42" i="32"/>
  <c r="E41" i="32"/>
  <c r="D41" i="32"/>
  <c r="C41" i="32"/>
  <c r="B41" i="32"/>
  <c r="E40" i="32"/>
  <c r="D40" i="32"/>
  <c r="C40" i="32"/>
  <c r="B40" i="32"/>
  <c r="E39" i="32"/>
  <c r="D39" i="32"/>
  <c r="C39" i="32"/>
  <c r="B39" i="32"/>
  <c r="E38" i="32"/>
  <c r="D38" i="32"/>
  <c r="C38" i="32"/>
  <c r="B38" i="32"/>
  <c r="E34" i="32"/>
  <c r="D34" i="32"/>
  <c r="C34" i="32"/>
  <c r="B34" i="32"/>
  <c r="E32" i="32"/>
  <c r="D32" i="32"/>
  <c r="C32" i="32"/>
  <c r="B32" i="32"/>
  <c r="E31" i="32"/>
  <c r="D31" i="32"/>
  <c r="C31" i="32"/>
  <c r="B31" i="32"/>
  <c r="E30" i="32"/>
  <c r="D30" i="32"/>
  <c r="C30" i="32"/>
  <c r="B30" i="32"/>
  <c r="E29" i="32"/>
  <c r="D29" i="32"/>
  <c r="C29" i="32"/>
  <c r="B29" i="32"/>
  <c r="E28" i="32"/>
  <c r="D28" i="32"/>
  <c r="C28" i="32"/>
  <c r="B28" i="32"/>
  <c r="E27" i="32"/>
  <c r="D27" i="32"/>
  <c r="C27" i="32"/>
  <c r="B27" i="32"/>
  <c r="E23" i="32"/>
  <c r="D23" i="32"/>
  <c r="C23" i="32"/>
  <c r="B23" i="32"/>
  <c r="C22" i="32"/>
  <c r="B22" i="32"/>
  <c r="E21" i="32"/>
  <c r="D21" i="32"/>
  <c r="C21" i="32"/>
  <c r="B21" i="32"/>
  <c r="E20" i="32"/>
  <c r="D20" i="32"/>
  <c r="C20" i="32"/>
  <c r="B20" i="32"/>
  <c r="E19" i="32"/>
  <c r="D19" i="32"/>
  <c r="C19" i="32"/>
  <c r="B19" i="32"/>
  <c r="D18" i="32"/>
  <c r="C18" i="32"/>
  <c r="B18" i="32"/>
  <c r="B17" i="32"/>
  <c r="F17" i="32" s="1"/>
  <c r="E16" i="32"/>
  <c r="D16" i="32"/>
  <c r="C16" i="32"/>
  <c r="B16" i="32"/>
  <c r="E13" i="32"/>
  <c r="D13" i="32"/>
  <c r="C13" i="32"/>
  <c r="B13" i="32"/>
  <c r="E11" i="32"/>
  <c r="D11" i="32"/>
  <c r="C11" i="32"/>
  <c r="B11" i="32"/>
  <c r="E8" i="32"/>
  <c r="D8" i="32"/>
  <c r="C8" i="32"/>
  <c r="B8" i="32"/>
  <c r="J61" i="32"/>
  <c r="I61" i="32"/>
  <c r="H61" i="32"/>
  <c r="G61" i="32"/>
  <c r="J60" i="32"/>
  <c r="I60" i="32"/>
  <c r="H60" i="32"/>
  <c r="G60" i="32"/>
  <c r="J51" i="32"/>
  <c r="I51" i="32"/>
  <c r="H51" i="32"/>
  <c r="G51" i="32"/>
  <c r="J48" i="32"/>
  <c r="I48" i="32"/>
  <c r="H48" i="32"/>
  <c r="G48" i="32"/>
  <c r="J47" i="32"/>
  <c r="I47" i="32"/>
  <c r="H47" i="32"/>
  <c r="G47" i="32"/>
  <c r="J46" i="32"/>
  <c r="I46" i="32"/>
  <c r="H46" i="32"/>
  <c r="G46" i="32"/>
  <c r="J44" i="32"/>
  <c r="I44" i="32"/>
  <c r="H44" i="32"/>
  <c r="G44" i="32"/>
  <c r="J43" i="32"/>
  <c r="I43" i="32"/>
  <c r="H43" i="32"/>
  <c r="G43" i="32"/>
  <c r="J42" i="32"/>
  <c r="I42" i="32"/>
  <c r="H42" i="32"/>
  <c r="G42" i="32"/>
  <c r="J41" i="32"/>
  <c r="I41" i="32"/>
  <c r="H41" i="32"/>
  <c r="G41" i="32"/>
  <c r="J40" i="32"/>
  <c r="I40" i="32"/>
  <c r="H40" i="32"/>
  <c r="G40" i="32"/>
  <c r="J39" i="32"/>
  <c r="I39" i="32"/>
  <c r="H39" i="32"/>
  <c r="G39" i="32"/>
  <c r="J38" i="32"/>
  <c r="I38" i="32"/>
  <c r="H38" i="32"/>
  <c r="G38" i="32"/>
  <c r="J34" i="32"/>
  <c r="I34" i="32"/>
  <c r="H34" i="32"/>
  <c r="G34" i="32"/>
  <c r="J32" i="32"/>
  <c r="I32" i="32"/>
  <c r="H32" i="32"/>
  <c r="G32" i="32"/>
  <c r="J31" i="32"/>
  <c r="I31" i="32"/>
  <c r="H31" i="32"/>
  <c r="G31" i="32"/>
  <c r="J30" i="32"/>
  <c r="I30" i="32"/>
  <c r="H30" i="32"/>
  <c r="G30" i="32"/>
  <c r="J29" i="32"/>
  <c r="I29" i="32"/>
  <c r="H29" i="32"/>
  <c r="G29" i="32"/>
  <c r="J28" i="32"/>
  <c r="I28" i="32"/>
  <c r="H28" i="32"/>
  <c r="G28" i="32"/>
  <c r="J27" i="32"/>
  <c r="I27" i="32"/>
  <c r="H27" i="32"/>
  <c r="G27" i="32"/>
  <c r="J23" i="32"/>
  <c r="I23" i="32"/>
  <c r="H23" i="32"/>
  <c r="G23" i="32"/>
  <c r="J22" i="32"/>
  <c r="I22" i="32"/>
  <c r="H22" i="32"/>
  <c r="G22" i="32"/>
  <c r="J21" i="32"/>
  <c r="I21" i="32"/>
  <c r="H21" i="32"/>
  <c r="G21" i="32"/>
  <c r="J20" i="32"/>
  <c r="I20" i="32"/>
  <c r="H20" i="32"/>
  <c r="G20" i="32"/>
  <c r="J19" i="32"/>
  <c r="I19" i="32"/>
  <c r="H19" i="32"/>
  <c r="G19" i="32"/>
  <c r="J18" i="32"/>
  <c r="I18" i="32"/>
  <c r="H18" i="32"/>
  <c r="G18" i="32"/>
  <c r="G17" i="32"/>
  <c r="K17" i="32" s="1"/>
  <c r="J16" i="32"/>
  <c r="I16" i="32"/>
  <c r="H16" i="32"/>
  <c r="G16" i="32"/>
  <c r="J15" i="32"/>
  <c r="I15" i="32"/>
  <c r="H15" i="32"/>
  <c r="G15" i="32"/>
  <c r="J13" i="32"/>
  <c r="I13" i="32"/>
  <c r="H13" i="32"/>
  <c r="G13" i="32"/>
  <c r="J11" i="32"/>
  <c r="I11" i="32"/>
  <c r="H11" i="32"/>
  <c r="G11" i="32"/>
  <c r="J8" i="32"/>
  <c r="I8" i="32"/>
  <c r="H8" i="32"/>
  <c r="G8" i="32"/>
  <c r="E48" i="27"/>
  <c r="E22" i="27"/>
  <c r="E18" i="27"/>
  <c r="E18" i="32" s="1"/>
  <c r="C15" i="27"/>
  <c r="D15" i="27"/>
  <c r="BD32" i="1"/>
  <c r="AY32" i="1"/>
  <c r="AT32" i="1"/>
  <c r="AO32" i="1"/>
  <c r="AJ32" i="1"/>
  <c r="AE32" i="1"/>
  <c r="Z32" i="1"/>
  <c r="U32" i="1"/>
  <c r="P32" i="1"/>
  <c r="E32" i="1"/>
  <c r="E15" i="27" s="1"/>
  <c r="F40" i="1"/>
  <c r="K32" i="1"/>
  <c r="G49" i="32" l="1"/>
  <c r="BE81" i="29"/>
  <c r="D35" i="32"/>
  <c r="G35" i="32"/>
  <c r="F61" i="32"/>
  <c r="BG12" i="32"/>
  <c r="BE12" i="32"/>
  <c r="BF12" i="32"/>
  <c r="C12" i="27"/>
  <c r="I10" i="25"/>
  <c r="J10" i="25" s="1"/>
  <c r="H12" i="27"/>
  <c r="H12" i="32" s="1"/>
  <c r="D10" i="25"/>
  <c r="E10" i="25" s="1"/>
  <c r="K15" i="32"/>
  <c r="F60" i="32"/>
  <c r="K18" i="32"/>
  <c r="K19" i="32"/>
  <c r="K20" i="32"/>
  <c r="K21" i="32"/>
  <c r="K22" i="32"/>
  <c r="K23" i="32"/>
  <c r="K28" i="32"/>
  <c r="K29" i="32"/>
  <c r="K30" i="32"/>
  <c r="K31" i="32"/>
  <c r="K32" i="32"/>
  <c r="K34" i="32"/>
  <c r="K39" i="32"/>
  <c r="K40" i="32"/>
  <c r="K41" i="32"/>
  <c r="K42" i="32"/>
  <c r="K43" i="32"/>
  <c r="K44" i="32"/>
  <c r="K46" i="32"/>
  <c r="K47" i="32"/>
  <c r="K48" i="32"/>
  <c r="K51" i="32"/>
  <c r="K60" i="32"/>
  <c r="K61" i="32"/>
  <c r="F8" i="32"/>
  <c r="F11" i="32"/>
  <c r="F13" i="32"/>
  <c r="F16" i="32"/>
  <c r="E35" i="32"/>
  <c r="D15" i="32"/>
  <c r="H35" i="32"/>
  <c r="H49" i="32"/>
  <c r="F18" i="32"/>
  <c r="F19" i="32"/>
  <c r="F20" i="32"/>
  <c r="F21" i="32"/>
  <c r="F23" i="32"/>
  <c r="F27" i="32"/>
  <c r="F28" i="32"/>
  <c r="F29" i="32"/>
  <c r="F30" i="32"/>
  <c r="F31" i="32"/>
  <c r="F32" i="32"/>
  <c r="F34" i="32"/>
  <c r="F38" i="32"/>
  <c r="F39" i="32"/>
  <c r="F40" i="32"/>
  <c r="F41" i="32"/>
  <c r="F42" i="32"/>
  <c r="F43" i="32"/>
  <c r="F44" i="32"/>
  <c r="F46" i="32"/>
  <c r="F47" i="32"/>
  <c r="F51" i="32"/>
  <c r="E15" i="32"/>
  <c r="K8" i="32"/>
  <c r="K11" i="32"/>
  <c r="K13" i="32"/>
  <c r="I35" i="32"/>
  <c r="I49" i="32"/>
  <c r="C35" i="32"/>
  <c r="C49" i="32"/>
  <c r="K16" i="32"/>
  <c r="J35" i="32"/>
  <c r="J49" i="32"/>
  <c r="C15" i="32"/>
  <c r="B35" i="32"/>
  <c r="B49" i="32"/>
  <c r="K27" i="32"/>
  <c r="K38" i="32"/>
  <c r="K61" i="27"/>
  <c r="K60" i="27"/>
  <c r="K51" i="27"/>
  <c r="J49" i="27"/>
  <c r="K49" i="27" s="1"/>
  <c r="I49" i="27"/>
  <c r="H49" i="27"/>
  <c r="G49" i="27"/>
  <c r="K48" i="27"/>
  <c r="K47" i="27"/>
  <c r="K46" i="27"/>
  <c r="K43" i="27"/>
  <c r="K42" i="27"/>
  <c r="K41" i="27"/>
  <c r="K40" i="27"/>
  <c r="K39" i="27"/>
  <c r="K38" i="27"/>
  <c r="J35" i="27"/>
  <c r="K35" i="27" s="1"/>
  <c r="I35" i="27"/>
  <c r="H35" i="27"/>
  <c r="G35" i="27"/>
  <c r="K34" i="27"/>
  <c r="K32" i="27"/>
  <c r="K31" i="27"/>
  <c r="K30" i="27"/>
  <c r="K29" i="27"/>
  <c r="K28" i="27"/>
  <c r="K27" i="27"/>
  <c r="K23" i="27"/>
  <c r="K22" i="27"/>
  <c r="K21" i="27"/>
  <c r="K20" i="27"/>
  <c r="K19" i="27"/>
  <c r="K18" i="27"/>
  <c r="K16" i="27"/>
  <c r="K15" i="27"/>
  <c r="K13" i="27"/>
  <c r="K11" i="27"/>
  <c r="K8" i="27"/>
  <c r="F61" i="27"/>
  <c r="F60" i="27"/>
  <c r="F54" i="27"/>
  <c r="F51" i="27"/>
  <c r="F48" i="27"/>
  <c r="F47" i="27"/>
  <c r="F46" i="27"/>
  <c r="F44" i="27"/>
  <c r="F43" i="27"/>
  <c r="F42" i="27"/>
  <c r="F41" i="27"/>
  <c r="F40" i="27"/>
  <c r="F39" i="27"/>
  <c r="F38" i="27"/>
  <c r="F34" i="27"/>
  <c r="F32" i="27"/>
  <c r="F31" i="27"/>
  <c r="F30" i="27"/>
  <c r="F29" i="27"/>
  <c r="F28" i="27"/>
  <c r="F27" i="27"/>
  <c r="F23" i="27"/>
  <c r="F22" i="27"/>
  <c r="F21" i="27"/>
  <c r="F20" i="27"/>
  <c r="F19" i="27"/>
  <c r="F18" i="27"/>
  <c r="F16" i="27"/>
  <c r="F15" i="27"/>
  <c r="F13" i="27"/>
  <c r="F11" i="27"/>
  <c r="F8" i="27"/>
  <c r="E35" i="27"/>
  <c r="F35" i="27" s="1"/>
  <c r="E49" i="27"/>
  <c r="F49" i="27" s="1"/>
  <c r="D48" i="27"/>
  <c r="D22" i="27"/>
  <c r="D22" i="32" s="1"/>
  <c r="D35" i="27"/>
  <c r="C49" i="27"/>
  <c r="C35" i="27"/>
  <c r="B49" i="27"/>
  <c r="B35" i="27"/>
  <c r="E40" i="1"/>
  <c r="B40" i="1"/>
  <c r="C40" i="1"/>
  <c r="D40" i="1"/>
  <c r="D24" i="1"/>
  <c r="F10" i="25" l="1"/>
  <c r="D12" i="27"/>
  <c r="D12" i="32" s="1"/>
  <c r="BI12" i="32"/>
  <c r="E12" i="27"/>
  <c r="K10" i="25"/>
  <c r="I12" i="27"/>
  <c r="I12" i="32" s="1"/>
  <c r="J12" i="27"/>
  <c r="K49" i="32"/>
  <c r="K35" i="32"/>
  <c r="D49" i="27"/>
  <c r="D48" i="32"/>
  <c r="E48" i="32"/>
  <c r="E49" i="32" s="1"/>
  <c r="F15" i="32"/>
  <c r="E22" i="32"/>
  <c r="F22" i="32" s="1"/>
  <c r="F35" i="32"/>
  <c r="F32" i="1"/>
  <c r="E24" i="1"/>
  <c r="F10" i="1"/>
  <c r="B24" i="1"/>
  <c r="C24" i="1"/>
  <c r="K31" i="1"/>
  <c r="F31" i="1"/>
  <c r="J25" i="1"/>
  <c r="I25" i="1"/>
  <c r="H25" i="1"/>
  <c r="G25" i="1"/>
  <c r="D25" i="1"/>
  <c r="K24" i="1"/>
  <c r="K23" i="1"/>
  <c r="F23" i="1"/>
  <c r="J18" i="1"/>
  <c r="I18" i="1"/>
  <c r="H18" i="1"/>
  <c r="G18" i="1"/>
  <c r="D18" i="1"/>
  <c r="C18" i="1"/>
  <c r="B18" i="1"/>
  <c r="K17" i="1"/>
  <c r="F17" i="1"/>
  <c r="K12" i="1"/>
  <c r="F12" i="1"/>
  <c r="K11" i="1"/>
  <c r="F11" i="1"/>
  <c r="K10" i="1"/>
  <c r="J7" i="1"/>
  <c r="I7" i="1"/>
  <c r="H7" i="1"/>
  <c r="G7" i="1"/>
  <c r="E7" i="1"/>
  <c r="D7" i="1"/>
  <c r="C7" i="1"/>
  <c r="B7" i="1"/>
  <c r="K6" i="1"/>
  <c r="F6" i="1"/>
  <c r="K5" i="1"/>
  <c r="F5" i="1"/>
  <c r="K76" i="29" l="1"/>
  <c r="K77" i="29" s="1"/>
  <c r="P77" i="29"/>
  <c r="BE6" i="27"/>
  <c r="BF6" i="27" s="1"/>
  <c r="BF6" i="32" s="1"/>
  <c r="BF24" i="32" s="1"/>
  <c r="K12" i="27"/>
  <c r="J12" i="32"/>
  <c r="K12" i="32" s="1"/>
  <c r="E12" i="32"/>
  <c r="F12" i="27"/>
  <c r="D49" i="32"/>
  <c r="F49" i="32" s="1"/>
  <c r="F48" i="32"/>
  <c r="C25" i="1"/>
  <c r="G20" i="1"/>
  <c r="B25" i="1"/>
  <c r="E25" i="1"/>
  <c r="B20" i="1"/>
  <c r="K25" i="1"/>
  <c r="C20" i="1"/>
  <c r="H20" i="1"/>
  <c r="D20" i="1"/>
  <c r="D27" i="1" s="1"/>
  <c r="I20" i="1"/>
  <c r="K18" i="1"/>
  <c r="F24" i="1"/>
  <c r="E18" i="1"/>
  <c r="E20" i="1" s="1"/>
  <c r="K7" i="1"/>
  <c r="F7" i="1"/>
  <c r="J20" i="1"/>
  <c r="BA69" i="28"/>
  <c r="BB69" i="28"/>
  <c r="BC69" i="28"/>
  <c r="D46" i="28"/>
  <c r="D38" i="28"/>
  <c r="D61" i="28" s="1"/>
  <c r="D22" i="28"/>
  <c r="D10" i="28"/>
  <c r="D68" i="28" s="1"/>
  <c r="D70" i="28" s="1"/>
  <c r="D35" i="28"/>
  <c r="D59" i="28"/>
  <c r="D60" i="28"/>
  <c r="D62" i="28"/>
  <c r="C46" i="28"/>
  <c r="C38" i="28"/>
  <c r="C61" i="28" s="1"/>
  <c r="C10" i="28"/>
  <c r="C68" i="28" s="1"/>
  <c r="C70" i="28" s="1"/>
  <c r="C35" i="28"/>
  <c r="C59" i="28"/>
  <c r="C60" i="28"/>
  <c r="C62" i="28"/>
  <c r="J62" i="28"/>
  <c r="K62" i="28" s="1"/>
  <c r="I62" i="28"/>
  <c r="H62" i="28"/>
  <c r="G62" i="28"/>
  <c r="J61" i="28"/>
  <c r="K61" i="28" s="1"/>
  <c r="I61" i="28"/>
  <c r="H61" i="28"/>
  <c r="G61" i="28"/>
  <c r="J60" i="28"/>
  <c r="K60" i="28" s="1"/>
  <c r="I60" i="28"/>
  <c r="H60" i="28"/>
  <c r="G60" i="28"/>
  <c r="J59" i="28"/>
  <c r="K59" i="28" s="1"/>
  <c r="I59" i="28"/>
  <c r="H59" i="28"/>
  <c r="G59" i="28"/>
  <c r="K58" i="28"/>
  <c r="K52" i="28"/>
  <c r="K49" i="28"/>
  <c r="K47" i="28"/>
  <c r="K46" i="28"/>
  <c r="K45" i="28"/>
  <c r="K44" i="28"/>
  <c r="K41" i="28"/>
  <c r="K38" i="28"/>
  <c r="K37" i="28"/>
  <c r="J35" i="28"/>
  <c r="J39" i="28" s="1"/>
  <c r="K34" i="28"/>
  <c r="K33" i="28"/>
  <c r="K29" i="28"/>
  <c r="K28" i="28"/>
  <c r="K27" i="28"/>
  <c r="K22" i="28"/>
  <c r="K21" i="28"/>
  <c r="K20" i="28"/>
  <c r="K19" i="28"/>
  <c r="K18" i="28"/>
  <c r="K15" i="28"/>
  <c r="K14" i="28"/>
  <c r="K13" i="28"/>
  <c r="K12" i="28"/>
  <c r="K11" i="28"/>
  <c r="J10" i="28"/>
  <c r="J68" i="28" s="1"/>
  <c r="J70" i="28" s="1"/>
  <c r="K9" i="28"/>
  <c r="K8" i="28"/>
  <c r="I10" i="28"/>
  <c r="I68" i="28" s="1"/>
  <c r="I70" i="28" s="1"/>
  <c r="I35" i="28"/>
  <c r="I39" i="28" s="1"/>
  <c r="H10" i="28"/>
  <c r="H68" i="28" s="1"/>
  <c r="H70" i="28" s="1"/>
  <c r="H35" i="28"/>
  <c r="H39" i="28" s="1"/>
  <c r="BD47" i="28"/>
  <c r="AY47" i="28"/>
  <c r="AT47" i="28"/>
  <c r="AO47" i="28"/>
  <c r="AJ47" i="28"/>
  <c r="AE47" i="28"/>
  <c r="Z47" i="28"/>
  <c r="U47" i="28"/>
  <c r="P47" i="28"/>
  <c r="F47" i="28"/>
  <c r="E62" i="28"/>
  <c r="F62" i="28" s="1"/>
  <c r="E61" i="28"/>
  <c r="F61" i="28" s="1"/>
  <c r="E60" i="28"/>
  <c r="F60" i="28" s="1"/>
  <c r="E59" i="28"/>
  <c r="F59" i="28" s="1"/>
  <c r="F58" i="28"/>
  <c r="F52" i="28"/>
  <c r="F49" i="28"/>
  <c r="F46" i="28"/>
  <c r="F45" i="28"/>
  <c r="F44" i="28"/>
  <c r="F41" i="28"/>
  <c r="F38" i="28"/>
  <c r="F37" i="28"/>
  <c r="G35" i="28"/>
  <c r="G39" i="28" s="1"/>
  <c r="E35" i="28"/>
  <c r="E39" i="28" s="1"/>
  <c r="F34" i="28"/>
  <c r="F33" i="28"/>
  <c r="F29" i="28"/>
  <c r="F28" i="28"/>
  <c r="F27" i="28"/>
  <c r="L35" i="28"/>
  <c r="L39" i="28" s="1"/>
  <c r="L59" i="28"/>
  <c r="L60" i="28"/>
  <c r="L61" i="28"/>
  <c r="L62" i="28"/>
  <c r="F22" i="28"/>
  <c r="F21" i="28"/>
  <c r="F20" i="28"/>
  <c r="F19" i="28"/>
  <c r="F18" i="28"/>
  <c r="F15" i="28"/>
  <c r="F14" i="28"/>
  <c r="F13" i="28"/>
  <c r="F12" i="28"/>
  <c r="F11" i="28"/>
  <c r="E10" i="28"/>
  <c r="E68" i="28" s="1"/>
  <c r="E70" i="28" s="1"/>
  <c r="F9" i="28"/>
  <c r="F8" i="28"/>
  <c r="G10" i="28"/>
  <c r="G68" i="28" s="1"/>
  <c r="G70" i="28" s="1"/>
  <c r="L10" i="28"/>
  <c r="L68" i="28" s="1"/>
  <c r="L70" i="28" s="1"/>
  <c r="M10" i="28"/>
  <c r="M68" i="28" s="1"/>
  <c r="M70" i="28" s="1"/>
  <c r="N10" i="28"/>
  <c r="N68" i="28" s="1"/>
  <c r="N70" i="28" s="1"/>
  <c r="O10" i="28"/>
  <c r="O68" i="28" s="1"/>
  <c r="O70" i="28" s="1"/>
  <c r="P13" i="28"/>
  <c r="P12" i="28"/>
  <c r="P11" i="28"/>
  <c r="Q10" i="28"/>
  <c r="Q68" i="28" s="1"/>
  <c r="Q70" i="28" s="1"/>
  <c r="R10" i="28"/>
  <c r="R68" i="28" s="1"/>
  <c r="R70" i="28" s="1"/>
  <c r="S10" i="28"/>
  <c r="S68" i="28" s="1"/>
  <c r="S70" i="28" s="1"/>
  <c r="V10" i="28"/>
  <c r="V68" i="28" s="1"/>
  <c r="V70" i="28" s="1"/>
  <c r="O62" i="28"/>
  <c r="P62" i="28" s="1"/>
  <c r="N62" i="28"/>
  <c r="M62" i="28"/>
  <c r="O61" i="28"/>
  <c r="P61" i="28" s="1"/>
  <c r="N61" i="28"/>
  <c r="M61" i="28"/>
  <c r="O60" i="28"/>
  <c r="P60" i="28" s="1"/>
  <c r="N60" i="28"/>
  <c r="M60" i="28"/>
  <c r="O59" i="28"/>
  <c r="N59" i="28"/>
  <c r="M59" i="28"/>
  <c r="P58" i="28"/>
  <c r="S59" i="28"/>
  <c r="S60" i="28"/>
  <c r="S61" i="28"/>
  <c r="S62" i="28"/>
  <c r="R62" i="28"/>
  <c r="Q62" i="28"/>
  <c r="R61" i="28"/>
  <c r="Q61" i="28"/>
  <c r="R60" i="28"/>
  <c r="Q60" i="28"/>
  <c r="R59" i="28"/>
  <c r="Q59" i="28"/>
  <c r="V62" i="28"/>
  <c r="V61" i="28"/>
  <c r="V60" i="28"/>
  <c r="V59" i="28"/>
  <c r="W62" i="28"/>
  <c r="W61" i="28"/>
  <c r="W60" i="28"/>
  <c r="W59" i="28"/>
  <c r="W10" i="28"/>
  <c r="W68" i="28" s="1"/>
  <c r="W70" i="28" s="1"/>
  <c r="X10" i="28"/>
  <c r="X68" i="28" s="1"/>
  <c r="X70" i="28" s="1"/>
  <c r="T62" i="28"/>
  <c r="U62" i="28" s="1"/>
  <c r="T61" i="28"/>
  <c r="U61" i="28" s="1"/>
  <c r="T60" i="28"/>
  <c r="U60" i="28" s="1"/>
  <c r="T59" i="28"/>
  <c r="U59" i="28" s="1"/>
  <c r="U58" i="28"/>
  <c r="X62" i="28"/>
  <c r="X61" i="28"/>
  <c r="X60" i="28"/>
  <c r="X59" i="28"/>
  <c r="AA62" i="28"/>
  <c r="AA61" i="28"/>
  <c r="AA60" i="28"/>
  <c r="AA59" i="28"/>
  <c r="AB62" i="28"/>
  <c r="AB61" i="28"/>
  <c r="AB60" i="28"/>
  <c r="AB59" i="28"/>
  <c r="Y62" i="28"/>
  <c r="Z62" i="28" s="1"/>
  <c r="Y61" i="28"/>
  <c r="Z61" i="28" s="1"/>
  <c r="Y60" i="28"/>
  <c r="Z60" i="28" s="1"/>
  <c r="Y59" i="28"/>
  <c r="Z59" i="28" s="1"/>
  <c r="Z58" i="28"/>
  <c r="AC62" i="28"/>
  <c r="AC61" i="28"/>
  <c r="AC60" i="28"/>
  <c r="AC59" i="28"/>
  <c r="BC59" i="28"/>
  <c r="BC60" i="28"/>
  <c r="BC61" i="28"/>
  <c r="BC62" i="28"/>
  <c r="BB59" i="28"/>
  <c r="BB60" i="28"/>
  <c r="BB61" i="28"/>
  <c r="BB62" i="28"/>
  <c r="BA59" i="28"/>
  <c r="BA60" i="28"/>
  <c r="BA61" i="28"/>
  <c r="BA62" i="28"/>
  <c r="AZ62" i="28"/>
  <c r="AZ61" i="28"/>
  <c r="AZ60" i="28"/>
  <c r="AZ59" i="28"/>
  <c r="AW59" i="28"/>
  <c r="AW60" i="28"/>
  <c r="AW61" i="28"/>
  <c r="AW62" i="28"/>
  <c r="AV59" i="28"/>
  <c r="AV60" i="28"/>
  <c r="AV61" i="28"/>
  <c r="AV62" i="28"/>
  <c r="AU62" i="28"/>
  <c r="AU61" i="28"/>
  <c r="AU60" i="28"/>
  <c r="AU59" i="28"/>
  <c r="AR59" i="28"/>
  <c r="AR60" i="28"/>
  <c r="AR61" i="28"/>
  <c r="AR62" i="28"/>
  <c r="AQ59" i="28"/>
  <c r="AQ60" i="28"/>
  <c r="AQ61" i="28"/>
  <c r="AQ62" i="28"/>
  <c r="AP62" i="28"/>
  <c r="AP61" i="28"/>
  <c r="AP60" i="28"/>
  <c r="AP59" i="28"/>
  <c r="AM59" i="28"/>
  <c r="AM60" i="28"/>
  <c r="AM61" i="28"/>
  <c r="AM62" i="28"/>
  <c r="AL62" i="28"/>
  <c r="AL61" i="28"/>
  <c r="AL60" i="28"/>
  <c r="AL59" i="28"/>
  <c r="AK62" i="28"/>
  <c r="AK61" i="28"/>
  <c r="AK60" i="28"/>
  <c r="AK59" i="28"/>
  <c r="AH59" i="28"/>
  <c r="AH60" i="28"/>
  <c r="AH61" i="28"/>
  <c r="AH62" i="28"/>
  <c r="AG59" i="28"/>
  <c r="AG60" i="28"/>
  <c r="AG61" i="28"/>
  <c r="AG62" i="28"/>
  <c r="AF62" i="28"/>
  <c r="AF61" i="28"/>
  <c r="AF60" i="28"/>
  <c r="AF59" i="28"/>
  <c r="AF10" i="28"/>
  <c r="AF68" i="28" s="1"/>
  <c r="AF70" i="28" s="1"/>
  <c r="AG10" i="28"/>
  <c r="AG68" i="28" s="1"/>
  <c r="AG70" i="28" s="1"/>
  <c r="AH10" i="28"/>
  <c r="AH68" i="28" s="1"/>
  <c r="AH70" i="28" s="1"/>
  <c r="AD30" i="29"/>
  <c r="AD29" i="29"/>
  <c r="AD28" i="29"/>
  <c r="AD26" i="29"/>
  <c r="Y28" i="29"/>
  <c r="Y29" i="29"/>
  <c r="Y30" i="29"/>
  <c r="Y26" i="29"/>
  <c r="V27" i="29"/>
  <c r="AA27" i="29"/>
  <c r="AA31" i="29" s="1"/>
  <c r="AA10" i="28"/>
  <c r="AA68" i="28" s="1"/>
  <c r="AA70" i="28" s="1"/>
  <c r="W27" i="29"/>
  <c r="AB27" i="29"/>
  <c r="AB31" i="29" s="1"/>
  <c r="AB10" i="28"/>
  <c r="AB68" i="28" s="1"/>
  <c r="AB70" i="28" s="1"/>
  <c r="X27" i="29"/>
  <c r="X31" i="29" s="1"/>
  <c r="X43" i="29" s="1"/>
  <c r="AC27" i="29"/>
  <c r="AC10" i="28"/>
  <c r="AC68" i="28" s="1"/>
  <c r="AC70" i="28" s="1"/>
  <c r="F106" i="29"/>
  <c r="K106" i="29"/>
  <c r="P106" i="29"/>
  <c r="F27" i="29"/>
  <c r="F13" i="29"/>
  <c r="K13" i="29"/>
  <c r="U106" i="29"/>
  <c r="AJ106" i="29"/>
  <c r="AE66" i="29"/>
  <c r="AE106" i="29"/>
  <c r="Z106" i="29"/>
  <c r="Z66" i="29"/>
  <c r="T10" i="28"/>
  <c r="T68" i="28" s="1"/>
  <c r="T70" i="28" s="1"/>
  <c r="U13" i="28"/>
  <c r="U12" i="28"/>
  <c r="U11" i="28"/>
  <c r="Y10" i="28"/>
  <c r="Y68" i="28" s="1"/>
  <c r="Y70" i="28" s="1"/>
  <c r="Z13" i="28"/>
  <c r="Z12" i="28"/>
  <c r="Z11" i="28"/>
  <c r="P13" i="29"/>
  <c r="U13" i="29"/>
  <c r="Z13" i="29"/>
  <c r="AE13" i="29"/>
  <c r="AJ13" i="29"/>
  <c r="AO13" i="29"/>
  <c r="AT13" i="29"/>
  <c r="AX13" i="29"/>
  <c r="AW13" i="29"/>
  <c r="AV13" i="29"/>
  <c r="AU13" i="29"/>
  <c r="BB13" i="29"/>
  <c r="BC13" i="29"/>
  <c r="BA13" i="29"/>
  <c r="AZ13" i="29"/>
  <c r="P66" i="29"/>
  <c r="U66" i="29"/>
  <c r="K27" i="29"/>
  <c r="P27" i="29"/>
  <c r="U27" i="29"/>
  <c r="U31" i="29" s="1"/>
  <c r="U41" i="29" s="1"/>
  <c r="Z27" i="29"/>
  <c r="AD10" i="28"/>
  <c r="AD68" i="28" s="1"/>
  <c r="AD70" i="28" s="1"/>
  <c r="AE13" i="28"/>
  <c r="AE12" i="28"/>
  <c r="AE11" i="28"/>
  <c r="I27" i="1" l="1"/>
  <c r="I53" i="1"/>
  <c r="G27" i="1"/>
  <c r="G49" i="1" s="1"/>
  <c r="G57" i="1"/>
  <c r="G53" i="1"/>
  <c r="J27" i="1"/>
  <c r="J30" i="1" s="1"/>
  <c r="J33" i="1" s="1"/>
  <c r="J50" i="1" s="1"/>
  <c r="J57" i="1"/>
  <c r="J53" i="1"/>
  <c r="J54" i="1" s="1"/>
  <c r="J55" i="1" s="1"/>
  <c r="H27" i="1"/>
  <c r="H53" i="1"/>
  <c r="I30" i="1"/>
  <c r="I49" i="1"/>
  <c r="I57" i="1" s="1"/>
  <c r="D30" i="1"/>
  <c r="D33" i="1" s="1"/>
  <c r="D50" i="1" s="1"/>
  <c r="D49" i="1"/>
  <c r="H30" i="1"/>
  <c r="H33" i="1" s="1"/>
  <c r="H50" i="1" s="1"/>
  <c r="H49" i="1"/>
  <c r="H57" i="1" s="1"/>
  <c r="BF53" i="32"/>
  <c r="AO19" i="29"/>
  <c r="AO23" i="29"/>
  <c r="AO22" i="29"/>
  <c r="AO18" i="29"/>
  <c r="AO17" i="29"/>
  <c r="AO21" i="29"/>
  <c r="AO16" i="29"/>
  <c r="AO20" i="29"/>
  <c r="AT23" i="29"/>
  <c r="AT21" i="29"/>
  <c r="AT17" i="29"/>
  <c r="AT22" i="29"/>
  <c r="AT18" i="29"/>
  <c r="AT20" i="29"/>
  <c r="AT19" i="29"/>
  <c r="AT16" i="29"/>
  <c r="BG6" i="27"/>
  <c r="BF24" i="27"/>
  <c r="BF53" i="27" s="1"/>
  <c r="AZ23" i="29"/>
  <c r="AZ22" i="29"/>
  <c r="AZ21" i="29"/>
  <c r="AZ20" i="29"/>
  <c r="AZ19" i="29"/>
  <c r="AZ18" i="29"/>
  <c r="AZ17" i="29"/>
  <c r="AZ16" i="29"/>
  <c r="AU21" i="29"/>
  <c r="AU17" i="29"/>
  <c r="AU19" i="29"/>
  <c r="AU22" i="29"/>
  <c r="AU20" i="29"/>
  <c r="AU16" i="29"/>
  <c r="AU23" i="29"/>
  <c r="AU18" i="29"/>
  <c r="Z21" i="29"/>
  <c r="K23" i="29"/>
  <c r="K14" i="29"/>
  <c r="AV14" i="29"/>
  <c r="AV23" i="29"/>
  <c r="AV19" i="29"/>
  <c r="AV17" i="29"/>
  <c r="AV18" i="29"/>
  <c r="AV20" i="29"/>
  <c r="AV16" i="29"/>
  <c r="AV21" i="29"/>
  <c r="AV22" i="29"/>
  <c r="U21" i="29"/>
  <c r="F23" i="29"/>
  <c r="F14" i="29"/>
  <c r="BB23" i="29"/>
  <c r="BB21" i="29"/>
  <c r="BB19" i="29"/>
  <c r="BB17" i="29"/>
  <c r="BB22" i="29"/>
  <c r="BB20" i="29"/>
  <c r="BB18" i="29"/>
  <c r="BB16" i="29"/>
  <c r="AX14" i="29"/>
  <c r="AX21" i="29"/>
  <c r="AX17" i="29"/>
  <c r="AX23" i="29"/>
  <c r="AX19" i="29"/>
  <c r="AX20" i="29"/>
  <c r="AX22" i="29"/>
  <c r="AX18" i="29"/>
  <c r="AX16" i="29"/>
  <c r="Z18" i="29"/>
  <c r="Z22" i="29"/>
  <c r="BA23" i="29"/>
  <c r="BA22" i="29"/>
  <c r="BA21" i="29"/>
  <c r="BA20" i="29"/>
  <c r="BA19" i="29"/>
  <c r="BA18" i="29"/>
  <c r="BA17" i="29"/>
  <c r="BA16" i="29"/>
  <c r="Z23" i="29"/>
  <c r="Y27" i="29"/>
  <c r="Y31" i="29" s="1"/>
  <c r="Y34" i="29" s="1"/>
  <c r="BC22" i="29"/>
  <c r="BC23" i="29"/>
  <c r="BC21" i="29"/>
  <c r="BC20" i="29"/>
  <c r="BC19" i="29"/>
  <c r="BC18" i="29"/>
  <c r="BC17" i="29"/>
  <c r="BC16" i="29"/>
  <c r="AW14" i="29"/>
  <c r="AW20" i="29"/>
  <c r="AW16" i="29"/>
  <c r="AW23" i="29"/>
  <c r="AW21" i="29"/>
  <c r="AW17" i="29"/>
  <c r="AW22" i="29"/>
  <c r="AW18" i="29"/>
  <c r="AW19" i="29"/>
  <c r="P21" i="29"/>
  <c r="I33" i="1"/>
  <c r="I50" i="1" s="1"/>
  <c r="BE6" i="32"/>
  <c r="BE24" i="27"/>
  <c r="BE53" i="27" s="1"/>
  <c r="P18" i="29"/>
  <c r="Z19" i="29"/>
  <c r="P22" i="29"/>
  <c r="U18" i="29"/>
  <c r="K20" i="29"/>
  <c r="U19" i="29"/>
  <c r="P19" i="29"/>
  <c r="F16" i="29"/>
  <c r="F21" i="29"/>
  <c r="Z16" i="29"/>
  <c r="Z20" i="29"/>
  <c r="U16" i="29"/>
  <c r="U20" i="29"/>
  <c r="P16" i="29"/>
  <c r="P20" i="29"/>
  <c r="K17" i="29"/>
  <c r="K22" i="29"/>
  <c r="F17" i="29"/>
  <c r="F22" i="29"/>
  <c r="U22" i="29"/>
  <c r="F20" i="29"/>
  <c r="U34" i="29"/>
  <c r="U23" i="29"/>
  <c r="P23" i="29"/>
  <c r="K16" i="29"/>
  <c r="K21" i="29"/>
  <c r="U42" i="29"/>
  <c r="Z17" i="29"/>
  <c r="U17" i="29"/>
  <c r="P17" i="29"/>
  <c r="K18" i="29"/>
  <c r="F18" i="29"/>
  <c r="U10" i="28"/>
  <c r="F10" i="28"/>
  <c r="K10" i="28"/>
  <c r="C39" i="28"/>
  <c r="D39" i="28"/>
  <c r="B27" i="1"/>
  <c r="C27" i="1"/>
  <c r="F25" i="1"/>
  <c r="F18" i="1"/>
  <c r="E27" i="1"/>
  <c r="F20" i="1"/>
  <c r="K20" i="1"/>
  <c r="K35" i="28"/>
  <c r="K39" i="28"/>
  <c r="F39" i="28"/>
  <c r="F35" i="28"/>
  <c r="P59" i="28"/>
  <c r="V31" i="29"/>
  <c r="AA42" i="29"/>
  <c r="AA34" i="29"/>
  <c r="AA39" i="29"/>
  <c r="AA41" i="29"/>
  <c r="AA40" i="29"/>
  <c r="AA43" i="29"/>
  <c r="W31" i="29"/>
  <c r="AB41" i="29"/>
  <c r="AB40" i="29"/>
  <c r="AB43" i="29"/>
  <c r="AB39" i="29"/>
  <c r="AB42" i="29"/>
  <c r="AB34" i="29"/>
  <c r="AC31" i="29"/>
  <c r="AC34" i="29" s="1"/>
  <c r="X40" i="29"/>
  <c r="X41" i="29"/>
  <c r="X34" i="29"/>
  <c r="X42" i="29"/>
  <c r="X39" i="29"/>
  <c r="F31" i="29"/>
  <c r="U40" i="29"/>
  <c r="BD13" i="29"/>
  <c r="U39" i="29"/>
  <c r="U43" i="29"/>
  <c r="K31" i="29"/>
  <c r="P31" i="29"/>
  <c r="G30" i="1" l="1"/>
  <c r="G33" i="1" s="1"/>
  <c r="K27" i="1"/>
  <c r="K49" i="1" s="1"/>
  <c r="G54" i="1"/>
  <c r="G55" i="1" s="1"/>
  <c r="K57" i="1"/>
  <c r="H54" i="1"/>
  <c r="H55" i="1" s="1"/>
  <c r="I54" i="1"/>
  <c r="I55" i="1" s="1"/>
  <c r="J49" i="1"/>
  <c r="B30" i="1"/>
  <c r="B33" i="1" s="1"/>
  <c r="B49" i="1"/>
  <c r="E30" i="1"/>
  <c r="E49" i="1"/>
  <c r="C30" i="1"/>
  <c r="C33" i="1" s="1"/>
  <c r="C50" i="1" s="1"/>
  <c r="C49" i="1"/>
  <c r="K30" i="1"/>
  <c r="BG6" i="32"/>
  <c r="BG24" i="32" s="1"/>
  <c r="BG24" i="27"/>
  <c r="BG53" i="27" s="1"/>
  <c r="E33" i="1"/>
  <c r="E50" i="1" s="1"/>
  <c r="K33" i="1"/>
  <c r="K50" i="1" s="1"/>
  <c r="G50" i="1"/>
  <c r="BE24" i="32"/>
  <c r="AC43" i="29"/>
  <c r="AC39" i="29"/>
  <c r="Z31" i="29"/>
  <c r="Z43" i="29" s="1"/>
  <c r="Y43" i="29"/>
  <c r="Y40" i="29"/>
  <c r="Y42" i="29"/>
  <c r="Y41" i="29"/>
  <c r="Y39" i="29"/>
  <c r="F27" i="1"/>
  <c r="F49" i="1" s="1"/>
  <c r="V43" i="29"/>
  <c r="V42" i="29"/>
  <c r="V34" i="29"/>
  <c r="V41" i="29"/>
  <c r="V40" i="29"/>
  <c r="V39" i="29"/>
  <c r="W43" i="29"/>
  <c r="W42" i="29"/>
  <c r="W34" i="29"/>
  <c r="W41" i="29"/>
  <c r="W40" i="29"/>
  <c r="W39" i="29"/>
  <c r="AC42" i="29"/>
  <c r="AC40" i="29"/>
  <c r="AC41" i="29"/>
  <c r="F43" i="29"/>
  <c r="F42" i="29"/>
  <c r="F34" i="29"/>
  <c r="F41" i="29"/>
  <c r="F40" i="29"/>
  <c r="F39" i="29"/>
  <c r="AY13" i="29"/>
  <c r="AU14" i="29"/>
  <c r="K43" i="29"/>
  <c r="K34" i="29"/>
  <c r="K40" i="29"/>
  <c r="K42" i="29"/>
  <c r="K41" i="29"/>
  <c r="K39" i="29"/>
  <c r="P43" i="29"/>
  <c r="P42" i="29"/>
  <c r="P34" i="29"/>
  <c r="P41" i="29"/>
  <c r="P40" i="29"/>
  <c r="P39" i="29"/>
  <c r="F30" i="1" l="1"/>
  <c r="BG53" i="32"/>
  <c r="B48" i="28"/>
  <c r="C48" i="28" s="1"/>
  <c r="B50" i="1"/>
  <c r="BE53" i="32"/>
  <c r="Z40" i="29"/>
  <c r="Z42" i="29"/>
  <c r="Z41" i="29"/>
  <c r="Z39" i="29"/>
  <c r="Z34" i="29"/>
  <c r="C50" i="28" l="1"/>
  <c r="C53" i="28" s="1"/>
  <c r="C63" i="28" s="1"/>
  <c r="C64" i="28" s="1"/>
  <c r="D48" i="28"/>
  <c r="D50" i="28" s="1"/>
  <c r="D53" i="28" s="1"/>
  <c r="E48" i="28" l="1"/>
  <c r="E50" i="28" s="1"/>
  <c r="C54" i="28"/>
  <c r="D63" i="28"/>
  <c r="D64" i="28" s="1"/>
  <c r="D54" i="28"/>
  <c r="F48" i="28" l="1"/>
  <c r="G48" i="28" s="1"/>
  <c r="H48" i="28" s="1"/>
  <c r="F50" i="28"/>
  <c r="E53" i="28"/>
  <c r="AI26" i="29"/>
  <c r="AH31" i="29"/>
  <c r="AH39" i="29" s="1"/>
  <c r="AM10" i="28"/>
  <c r="AM68" i="28" s="1"/>
  <c r="AM70" i="28" s="1"/>
  <c r="AG31" i="29"/>
  <c r="AG34" i="29" s="1"/>
  <c r="AL10" i="28"/>
  <c r="AL68" i="28" s="1"/>
  <c r="AL70" i="28" s="1"/>
  <c r="AF31" i="29"/>
  <c r="AK10" i="28"/>
  <c r="AK68" i="28" s="1"/>
  <c r="AK70" i="28" s="1"/>
  <c r="AN26" i="29"/>
  <c r="AR10" i="28"/>
  <c r="AR68" i="28" s="1"/>
  <c r="AR70" i="28" s="1"/>
  <c r="AM31" i="29"/>
  <c r="AM39" i="29" s="1"/>
  <c r="AL31" i="29"/>
  <c r="AL34" i="29" s="1"/>
  <c r="AQ10" i="28"/>
  <c r="AQ68" i="28" s="1"/>
  <c r="AQ70" i="28" s="1"/>
  <c r="AP10" i="28"/>
  <c r="AP68" i="28" s="1"/>
  <c r="AP70" i="28" s="1"/>
  <c r="AK31" i="29"/>
  <c r="AI10" i="28"/>
  <c r="AI68" i="28" s="1"/>
  <c r="AI70" i="28" s="1"/>
  <c r="AJ13" i="28"/>
  <c r="AJ12" i="28"/>
  <c r="AJ11" i="28"/>
  <c r="AO106" i="29"/>
  <c r="AJ66" i="29"/>
  <c r="AE23" i="29"/>
  <c r="AE27" i="29"/>
  <c r="AD27" i="29" s="1"/>
  <c r="AN10" i="28"/>
  <c r="AN68" i="28" s="1"/>
  <c r="AN70" i="28" s="1"/>
  <c r="AO13" i="28"/>
  <c r="AO12" i="28"/>
  <c r="AO11" i="28"/>
  <c r="AT13" i="28"/>
  <c r="AT12" i="28"/>
  <c r="AT11" i="28"/>
  <c r="BC10" i="28"/>
  <c r="BC68" i="28" s="1"/>
  <c r="BD13" i="28"/>
  <c r="BD12" i="28"/>
  <c r="BD11" i="28"/>
  <c r="BC26" i="29"/>
  <c r="BB31" i="29"/>
  <c r="BB39" i="29" s="1"/>
  <c r="BB10" i="28"/>
  <c r="BB68" i="28" s="1"/>
  <c r="BA52" i="29"/>
  <c r="BA31" i="29"/>
  <c r="BA34" i="29" s="1"/>
  <c r="BA10" i="28"/>
  <c r="BA68" i="28" s="1"/>
  <c r="AZ31" i="29"/>
  <c r="AZ39" i="29" s="1"/>
  <c r="AX10" i="28"/>
  <c r="AY13" i="28"/>
  <c r="AY12" i="28"/>
  <c r="AY11" i="28"/>
  <c r="AZ10" i="28"/>
  <c r="AZ68" i="28" s="1"/>
  <c r="AS26" i="29"/>
  <c r="AX26" i="29"/>
  <c r="AR52" i="29"/>
  <c r="AR31" i="29"/>
  <c r="AR34" i="29" s="1"/>
  <c r="AW31" i="29"/>
  <c r="AW34" i="29" s="1"/>
  <c r="AW10" i="28"/>
  <c r="AQ52" i="29"/>
  <c r="AV52" i="29"/>
  <c r="AQ31" i="29"/>
  <c r="AQ39" i="29" s="1"/>
  <c r="AV31" i="29"/>
  <c r="AV39" i="29" s="1"/>
  <c r="AV10" i="28"/>
  <c r="AS10" i="28"/>
  <c r="AS68" i="28" s="1"/>
  <c r="AS70" i="28" s="1"/>
  <c r="AU10" i="28"/>
  <c r="AU31" i="29"/>
  <c r="AU43" i="29" s="1"/>
  <c r="AP31" i="29"/>
  <c r="AJ27" i="29"/>
  <c r="AI27" i="29" s="1"/>
  <c r="AJ17" i="29"/>
  <c r="AJ20" i="29"/>
  <c r="AO66" i="29"/>
  <c r="AT106" i="29"/>
  <c r="AY106" i="29"/>
  <c r="AO27" i="29"/>
  <c r="AN27" i="29" s="1"/>
  <c r="AT66" i="29"/>
  <c r="BB52" i="29"/>
  <c r="AW52" i="29"/>
  <c r="AW56" i="29" l="1"/>
  <c r="AW57" i="29"/>
  <c r="AW59" i="29"/>
  <c r="AW58" i="29"/>
  <c r="AW60" i="29"/>
  <c r="AR60" i="29"/>
  <c r="AR56" i="29"/>
  <c r="AR57" i="29"/>
  <c r="AR58" i="29"/>
  <c r="AR59" i="29"/>
  <c r="BB61" i="29"/>
  <c r="BB58" i="29"/>
  <c r="BB59" i="29"/>
  <c r="BB60" i="29"/>
  <c r="BB56" i="29"/>
  <c r="BB57" i="29"/>
  <c r="AQ56" i="29"/>
  <c r="AQ57" i="29"/>
  <c r="AQ58" i="29"/>
  <c r="AQ59" i="29"/>
  <c r="AQ60" i="29"/>
  <c r="BA61" i="29"/>
  <c r="BA59" i="29"/>
  <c r="BA60" i="29"/>
  <c r="BA56" i="29"/>
  <c r="BA57" i="29"/>
  <c r="BA58" i="29"/>
  <c r="AW68" i="28"/>
  <c r="AW70" i="28" s="1"/>
  <c r="AV56" i="29"/>
  <c r="AV57" i="29"/>
  <c r="AV58" i="29"/>
  <c r="AV59" i="29"/>
  <c r="AV60" i="29"/>
  <c r="AU68" i="28"/>
  <c r="AU70" i="28" s="1"/>
  <c r="AV68" i="28"/>
  <c r="AV70" i="28" s="1"/>
  <c r="AX68" i="28"/>
  <c r="AX70" i="28" s="1"/>
  <c r="G50" i="28"/>
  <c r="G53" i="28" s="1"/>
  <c r="G63" i="28" s="1"/>
  <c r="G64" i="28" s="1"/>
  <c r="AL39" i="29"/>
  <c r="E54" i="28"/>
  <c r="F54" i="28" s="1"/>
  <c r="E63" i="28"/>
  <c r="F63" i="28" s="1"/>
  <c r="F53" i="28"/>
  <c r="H50" i="28"/>
  <c r="H53" i="28" s="1"/>
  <c r="I48" i="28"/>
  <c r="AD31" i="29"/>
  <c r="AZ34" i="29"/>
  <c r="AK43" i="29"/>
  <c r="AF43" i="29"/>
  <c r="AP43" i="29"/>
  <c r="AZ43" i="29"/>
  <c r="AT10" i="28"/>
  <c r="AJ10" i="28"/>
  <c r="AQ55" i="29"/>
  <c r="AV43" i="29"/>
  <c r="BA39" i="29"/>
  <c r="AR55" i="29"/>
  <c r="AR39" i="29"/>
  <c r="BA43" i="29"/>
  <c r="AQ43" i="29"/>
  <c r="AW39" i="29"/>
  <c r="AW61" i="29"/>
  <c r="AQ61" i="29"/>
  <c r="AW43" i="29"/>
  <c r="AU34" i="29"/>
  <c r="AR43" i="29"/>
  <c r="AP34" i="29"/>
  <c r="BB55" i="29"/>
  <c r="AL43" i="29"/>
  <c r="AH34" i="29"/>
  <c r="AH43" i="29"/>
  <c r="AV61" i="29"/>
  <c r="AU52" i="29"/>
  <c r="AV55" i="29"/>
  <c r="AR61" i="29"/>
  <c r="AV34" i="29"/>
  <c r="AU39" i="29"/>
  <c r="AQ34" i="29"/>
  <c r="AP39" i="29"/>
  <c r="AM43" i="29"/>
  <c r="AW55" i="29"/>
  <c r="AM34" i="29"/>
  <c r="AI31" i="29"/>
  <c r="AI43" i="29" s="1"/>
  <c r="AJ21" i="29"/>
  <c r="AJ18" i="29"/>
  <c r="AJ22" i="29"/>
  <c r="AJ19" i="29"/>
  <c r="AJ23" i="29"/>
  <c r="AJ16" i="29"/>
  <c r="AG43" i="29"/>
  <c r="AG39" i="29"/>
  <c r="AF34" i="29"/>
  <c r="AF39" i="29"/>
  <c r="AN31" i="29"/>
  <c r="AO31" i="29" s="1"/>
  <c r="AO39" i="29" s="1"/>
  <c r="AK34" i="29"/>
  <c r="AK39" i="29"/>
  <c r="AE20" i="29"/>
  <c r="AE21" i="29"/>
  <c r="AE16" i="29"/>
  <c r="AE17" i="29"/>
  <c r="AE18" i="29"/>
  <c r="AE22" i="29"/>
  <c r="AE19" i="29"/>
  <c r="BC52" i="29"/>
  <c r="BB34" i="29"/>
  <c r="BB43" i="29"/>
  <c r="BA55" i="29"/>
  <c r="AZ52" i="29"/>
  <c r="AP52" i="29"/>
  <c r="AO61" i="29"/>
  <c r="AO55" i="29"/>
  <c r="AY12" i="29"/>
  <c r="BC14" i="29"/>
  <c r="BB14" i="29"/>
  <c r="BA14" i="29"/>
  <c r="AZ14" i="29"/>
  <c r="BD12" i="29"/>
  <c r="AY11" i="29"/>
  <c r="BD11" i="29"/>
  <c r="AY10" i="29"/>
  <c r="BD10" i="29"/>
  <c r="AY6" i="29"/>
  <c r="AY9" i="29"/>
  <c r="BD9" i="29"/>
  <c r="AY8" i="29"/>
  <c r="BD8" i="29"/>
  <c r="AY7" i="29"/>
  <c r="BD7" i="29"/>
  <c r="G54" i="28" l="1"/>
  <c r="AU57" i="29"/>
  <c r="AU58" i="29"/>
  <c r="AU59" i="29"/>
  <c r="AU60" i="29"/>
  <c r="AU56" i="29"/>
  <c r="BC57" i="29"/>
  <c r="BC58" i="29"/>
  <c r="BC59" i="29"/>
  <c r="BC60" i="29"/>
  <c r="BC56" i="29"/>
  <c r="AP56" i="29"/>
  <c r="AP57" i="29"/>
  <c r="AP58" i="29"/>
  <c r="AP59" i="29"/>
  <c r="AP60" i="29"/>
  <c r="AZ60" i="29"/>
  <c r="AZ56" i="29"/>
  <c r="AZ58" i="29"/>
  <c r="AZ59" i="29"/>
  <c r="AZ57" i="29"/>
  <c r="AS52" i="29"/>
  <c r="J48" i="28"/>
  <c r="I50" i="28"/>
  <c r="I53" i="28" s="1"/>
  <c r="H63" i="28"/>
  <c r="H64" i="28" s="1"/>
  <c r="H54" i="28"/>
  <c r="E64" i="28"/>
  <c r="F64" i="28" s="1"/>
  <c r="AI34" i="29"/>
  <c r="AJ31" i="29"/>
  <c r="AJ43" i="29" s="1"/>
  <c r="AX52" i="29"/>
  <c r="AD43" i="29"/>
  <c r="AD34" i="29"/>
  <c r="AD41" i="29"/>
  <c r="AD42" i="29"/>
  <c r="AE31" i="29"/>
  <c r="AE34" i="29" s="1"/>
  <c r="AD40" i="29"/>
  <c r="AD39" i="29"/>
  <c r="AU55" i="29"/>
  <c r="AU61" i="29"/>
  <c r="AP61" i="29"/>
  <c r="AI39" i="29"/>
  <c r="AP55" i="29"/>
  <c r="AN43" i="29"/>
  <c r="AN39" i="29"/>
  <c r="AN34" i="29"/>
  <c r="BC61" i="29"/>
  <c r="BC55" i="29"/>
  <c r="AZ61" i="29"/>
  <c r="AZ55" i="29"/>
  <c r="AO43" i="29"/>
  <c r="AO42" i="29"/>
  <c r="AO34" i="29"/>
  <c r="AO41" i="29"/>
  <c r="AO40" i="29"/>
  <c r="BD6" i="29"/>
  <c r="AS61" i="29" l="1"/>
  <c r="AS59" i="29"/>
  <c r="AS60" i="29"/>
  <c r="AS56" i="29"/>
  <c r="AS57" i="29"/>
  <c r="AS58" i="29"/>
  <c r="AX59" i="29"/>
  <c r="AX56" i="29"/>
  <c r="AX57" i="29"/>
  <c r="AX58" i="29"/>
  <c r="AX60" i="29"/>
  <c r="AT52" i="29"/>
  <c r="AY52" i="29"/>
  <c r="AS55" i="29"/>
  <c r="AE39" i="29"/>
  <c r="AJ41" i="29"/>
  <c r="AJ34" i="29"/>
  <c r="I54" i="28"/>
  <c r="I63" i="28"/>
  <c r="I64" i="28" s="1"/>
  <c r="J50" i="28"/>
  <c r="K48" i="28"/>
  <c r="AX55" i="29"/>
  <c r="AJ39" i="29"/>
  <c r="AJ42" i="29"/>
  <c r="AX61" i="29"/>
  <c r="AJ40" i="29"/>
  <c r="AE42" i="29"/>
  <c r="AE40" i="29"/>
  <c r="AE43" i="29"/>
  <c r="AE41" i="29"/>
  <c r="BD52" i="29"/>
  <c r="BD106" i="29"/>
  <c r="AT27" i="29"/>
  <c r="AY27" i="29"/>
  <c r="BD27" i="29"/>
  <c r="AY66" i="29"/>
  <c r="BD66" i="29"/>
  <c r="AY56" i="29" l="1"/>
  <c r="AY59" i="29"/>
  <c r="AY57" i="29"/>
  <c r="AY58" i="29"/>
  <c r="AY60" i="29"/>
  <c r="AT61" i="29"/>
  <c r="AT56" i="29"/>
  <c r="AT59" i="29"/>
  <c r="AT60" i="29"/>
  <c r="AT57" i="29"/>
  <c r="AT58" i="29"/>
  <c r="BD56" i="29"/>
  <c r="BD59" i="29"/>
  <c r="BD60" i="29"/>
  <c r="BD58" i="29"/>
  <c r="BD57" i="29"/>
  <c r="AT55" i="29"/>
  <c r="J53" i="28"/>
  <c r="K50" i="28"/>
  <c r="AX27" i="29"/>
  <c r="AS27" i="29"/>
  <c r="BD31" i="29"/>
  <c r="BD41" i="29" s="1"/>
  <c r="BC27" i="29"/>
  <c r="BD61" i="29"/>
  <c r="BD55" i="29"/>
  <c r="AY61" i="29"/>
  <c r="AY55" i="29"/>
  <c r="AY19" i="29"/>
  <c r="AY23" i="29"/>
  <c r="BD20" i="29"/>
  <c r="BD23" i="29"/>
  <c r="BD16" i="29"/>
  <c r="BD19" i="29"/>
  <c r="AY16" i="29"/>
  <c r="AY20" i="29"/>
  <c r="BD22" i="29"/>
  <c r="BD18" i="29"/>
  <c r="AY17" i="29"/>
  <c r="AY21" i="29"/>
  <c r="BD21" i="29"/>
  <c r="BD17" i="29"/>
  <c r="AY18" i="29"/>
  <c r="AY22" i="29"/>
  <c r="BD43" i="29" l="1"/>
  <c r="BD39" i="29"/>
  <c r="BD42" i="29"/>
  <c r="BD34" i="29"/>
  <c r="BD38" i="29" s="1"/>
  <c r="BD40" i="29"/>
  <c r="K53" i="28"/>
  <c r="K59" i="1" s="1"/>
  <c r="J63" i="28"/>
  <c r="J54" i="28"/>
  <c r="K54" i="28" s="1"/>
  <c r="AS31" i="29"/>
  <c r="AT31" i="29" s="1"/>
  <c r="BC31" i="29"/>
  <c r="BC39" i="29" s="1"/>
  <c r="AX31" i="29"/>
  <c r="J64" i="28" l="1"/>
  <c r="K64" i="28" s="1"/>
  <c r="K63" i="28"/>
  <c r="AX43" i="29"/>
  <c r="AX34" i="29"/>
  <c r="AY31" i="29"/>
  <c r="AS43" i="29"/>
  <c r="AS34" i="29"/>
  <c r="BC43" i="29"/>
  <c r="BC34" i="29"/>
  <c r="AX39" i="29"/>
  <c r="AS39" i="29"/>
  <c r="AO15" i="28"/>
  <c r="AO14" i="28"/>
  <c r="AO10" i="28"/>
  <c r="AO9" i="28"/>
  <c r="AT15" i="28"/>
  <c r="AT14" i="28"/>
  <c r="AT9" i="28"/>
  <c r="AY43" i="29" l="1"/>
  <c r="AY39" i="29"/>
  <c r="AY42" i="29"/>
  <c r="AY40" i="29"/>
  <c r="AY34" i="29"/>
  <c r="AY38" i="29" s="1"/>
  <c r="AY41" i="29"/>
  <c r="AT34" i="29"/>
  <c r="AT38" i="29" s="1"/>
  <c r="AT43" i="29"/>
  <c r="AT41" i="29"/>
  <c r="AT40" i="29"/>
  <c r="AT42" i="29"/>
  <c r="AT39" i="29"/>
  <c r="L61" i="32"/>
  <c r="L60" i="32"/>
  <c r="Q61" i="32"/>
  <c r="Q60" i="32"/>
  <c r="V61" i="32"/>
  <c r="V60" i="32"/>
  <c r="AA61" i="32"/>
  <c r="AA60" i="32"/>
  <c r="AF61" i="32"/>
  <c r="AF60" i="32"/>
  <c r="AK61" i="32"/>
  <c r="AK60" i="32"/>
  <c r="AP61" i="32"/>
  <c r="AP60" i="32"/>
  <c r="AU61" i="32"/>
  <c r="AU60" i="32"/>
  <c r="AZ61" i="32"/>
  <c r="AZ60" i="32"/>
  <c r="O61" i="32"/>
  <c r="N61" i="32"/>
  <c r="M61" i="32"/>
  <c r="O60" i="32"/>
  <c r="N60" i="32"/>
  <c r="M60" i="32"/>
  <c r="O51" i="32"/>
  <c r="N51" i="32"/>
  <c r="M51" i="32"/>
  <c r="L51" i="32"/>
  <c r="O48" i="32"/>
  <c r="N48" i="32"/>
  <c r="M48" i="32"/>
  <c r="L48" i="32"/>
  <c r="O47" i="32"/>
  <c r="N47" i="32"/>
  <c r="M47" i="32"/>
  <c r="L47" i="32"/>
  <c r="O46" i="32"/>
  <c r="N46" i="32"/>
  <c r="M46" i="32"/>
  <c r="L46" i="32"/>
  <c r="O44" i="32"/>
  <c r="N44" i="32"/>
  <c r="M44" i="32"/>
  <c r="L44" i="32"/>
  <c r="O43" i="32"/>
  <c r="N43" i="32"/>
  <c r="M43" i="32"/>
  <c r="L43" i="32"/>
  <c r="O42" i="32"/>
  <c r="N42" i="32"/>
  <c r="M42" i="32"/>
  <c r="L42" i="32"/>
  <c r="O41" i="32"/>
  <c r="N41" i="32"/>
  <c r="M41" i="32"/>
  <c r="L41" i="32"/>
  <c r="O40" i="32"/>
  <c r="N40" i="32"/>
  <c r="M40" i="32"/>
  <c r="L40" i="32"/>
  <c r="O39" i="32"/>
  <c r="N39" i="32"/>
  <c r="M39" i="32"/>
  <c r="L39" i="32"/>
  <c r="O38" i="32"/>
  <c r="N38" i="32"/>
  <c r="M38" i="32"/>
  <c r="L38" i="32"/>
  <c r="O34" i="32"/>
  <c r="N34" i="32"/>
  <c r="M34" i="32"/>
  <c r="L34" i="32"/>
  <c r="O32" i="32"/>
  <c r="N32" i="32"/>
  <c r="M32" i="32"/>
  <c r="L32" i="32"/>
  <c r="O31" i="32"/>
  <c r="N31" i="32"/>
  <c r="M31" i="32"/>
  <c r="L31" i="32"/>
  <c r="O30" i="32"/>
  <c r="N30" i="32"/>
  <c r="M30" i="32"/>
  <c r="L30" i="32"/>
  <c r="O29" i="32"/>
  <c r="N29" i="32"/>
  <c r="M29" i="32"/>
  <c r="L29" i="32"/>
  <c r="O28" i="32"/>
  <c r="N28" i="32"/>
  <c r="M28" i="32"/>
  <c r="L28" i="32"/>
  <c r="O27" i="32"/>
  <c r="N27" i="32"/>
  <c r="M27" i="32"/>
  <c r="L27" i="32"/>
  <c r="O23" i="32"/>
  <c r="N23" i="32"/>
  <c r="M23" i="32"/>
  <c r="L23" i="32"/>
  <c r="O22" i="32"/>
  <c r="N22" i="32"/>
  <c r="M22" i="32"/>
  <c r="L22" i="32"/>
  <c r="O21" i="32"/>
  <c r="N21" i="32"/>
  <c r="M21" i="32"/>
  <c r="L21" i="32"/>
  <c r="O20" i="32"/>
  <c r="N20" i="32"/>
  <c r="M20" i="32"/>
  <c r="L20" i="32"/>
  <c r="O19" i="32"/>
  <c r="N19" i="32"/>
  <c r="M19" i="32"/>
  <c r="L19" i="32"/>
  <c r="O18" i="32"/>
  <c r="N18" i="32"/>
  <c r="M18" i="32"/>
  <c r="L18" i="32"/>
  <c r="L17" i="32"/>
  <c r="P17" i="32" s="1"/>
  <c r="O16" i="32"/>
  <c r="N16" i="32"/>
  <c r="M16" i="32"/>
  <c r="L16" i="32"/>
  <c r="O15" i="32"/>
  <c r="N15" i="32"/>
  <c r="M15" i="32"/>
  <c r="L15" i="32"/>
  <c r="O13" i="32"/>
  <c r="N13" i="32"/>
  <c r="M13" i="32"/>
  <c r="L13" i="32"/>
  <c r="O11" i="32"/>
  <c r="N11" i="32"/>
  <c r="M11" i="32"/>
  <c r="L11" i="32"/>
  <c r="O8" i="32"/>
  <c r="N8" i="32"/>
  <c r="M8" i="32"/>
  <c r="L8" i="32"/>
  <c r="T61" i="32"/>
  <c r="S61" i="32"/>
  <c r="R61" i="32"/>
  <c r="T60" i="32"/>
  <c r="S60" i="32"/>
  <c r="R60" i="32"/>
  <c r="T51" i="32"/>
  <c r="S51" i="32"/>
  <c r="R51" i="32"/>
  <c r="Q51" i="32"/>
  <c r="T48" i="32"/>
  <c r="S48" i="32"/>
  <c r="R48" i="32"/>
  <c r="Q48" i="32"/>
  <c r="T47" i="32"/>
  <c r="S47" i="32"/>
  <c r="R47" i="32"/>
  <c r="Q47" i="32"/>
  <c r="T46" i="32"/>
  <c r="S46" i="32"/>
  <c r="R46" i="32"/>
  <c r="Q46" i="32"/>
  <c r="T44" i="32"/>
  <c r="S44" i="32"/>
  <c r="R44" i="32"/>
  <c r="Q44" i="32"/>
  <c r="T43" i="32"/>
  <c r="S43" i="32"/>
  <c r="R43" i="32"/>
  <c r="Q43" i="32"/>
  <c r="T42" i="32"/>
  <c r="S42" i="32"/>
  <c r="R42" i="32"/>
  <c r="Q42" i="32"/>
  <c r="T41" i="32"/>
  <c r="S41" i="32"/>
  <c r="R41" i="32"/>
  <c r="Q41" i="32"/>
  <c r="T40" i="32"/>
  <c r="S40" i="32"/>
  <c r="R40" i="32"/>
  <c r="Q40" i="32"/>
  <c r="T39" i="32"/>
  <c r="S39" i="32"/>
  <c r="R39" i="32"/>
  <c r="Q39" i="32"/>
  <c r="T38" i="32"/>
  <c r="S38" i="32"/>
  <c r="R38" i="32"/>
  <c r="Q38" i="32"/>
  <c r="T34" i="32"/>
  <c r="S34" i="32"/>
  <c r="R34" i="32"/>
  <c r="Q34" i="32"/>
  <c r="T32" i="32"/>
  <c r="S32" i="32"/>
  <c r="R32" i="32"/>
  <c r="Q32" i="32"/>
  <c r="T31" i="32"/>
  <c r="S31" i="32"/>
  <c r="R31" i="32"/>
  <c r="Q31" i="32"/>
  <c r="T30" i="32"/>
  <c r="S30" i="32"/>
  <c r="R30" i="32"/>
  <c r="Q30" i="32"/>
  <c r="T29" i="32"/>
  <c r="S29" i="32"/>
  <c r="R29" i="32"/>
  <c r="Q29" i="32"/>
  <c r="T28" i="32"/>
  <c r="S28" i="32"/>
  <c r="R28" i="32"/>
  <c r="Q28" i="32"/>
  <c r="T27" i="32"/>
  <c r="S27" i="32"/>
  <c r="R27" i="32"/>
  <c r="Q27" i="32"/>
  <c r="T23" i="32"/>
  <c r="S23" i="32"/>
  <c r="R23" i="32"/>
  <c r="Q23" i="32"/>
  <c r="T22" i="32"/>
  <c r="S22" i="32"/>
  <c r="R22" i="32"/>
  <c r="Q22" i="32"/>
  <c r="T21" i="32"/>
  <c r="S21" i="32"/>
  <c r="R21" i="32"/>
  <c r="Q21" i="32"/>
  <c r="T20" i="32"/>
  <c r="S20" i="32"/>
  <c r="R20" i="32"/>
  <c r="Q20" i="32"/>
  <c r="T19" i="32"/>
  <c r="S19" i="32"/>
  <c r="R19" i="32"/>
  <c r="Q19" i="32"/>
  <c r="T18" i="32"/>
  <c r="S18" i="32"/>
  <c r="R18" i="32"/>
  <c r="Q18" i="32"/>
  <c r="Q17" i="32"/>
  <c r="U17" i="32" s="1"/>
  <c r="T16" i="32"/>
  <c r="S16" i="32"/>
  <c r="R16" i="32"/>
  <c r="Q16" i="32"/>
  <c r="T15" i="32"/>
  <c r="S15" i="32"/>
  <c r="R15" i="32"/>
  <c r="Q15" i="32"/>
  <c r="T13" i="32"/>
  <c r="S13" i="32"/>
  <c r="R13" i="32"/>
  <c r="Q13" i="32"/>
  <c r="T11" i="32"/>
  <c r="S11" i="32"/>
  <c r="R11" i="32"/>
  <c r="Q11" i="32"/>
  <c r="T8" i="32"/>
  <c r="S8" i="32"/>
  <c r="R8" i="32"/>
  <c r="Q8" i="32"/>
  <c r="Y61" i="32"/>
  <c r="X61" i="32"/>
  <c r="W61" i="32"/>
  <c r="Y60" i="32"/>
  <c r="X60" i="32"/>
  <c r="W60" i="32"/>
  <c r="Y51" i="32"/>
  <c r="X51" i="32"/>
  <c r="W51" i="32"/>
  <c r="V51" i="32"/>
  <c r="Y48" i="32"/>
  <c r="X48" i="32"/>
  <c r="W48" i="32"/>
  <c r="V48" i="32"/>
  <c r="Y47" i="32"/>
  <c r="X47" i="32"/>
  <c r="W47" i="32"/>
  <c r="V47" i="32"/>
  <c r="Y46" i="32"/>
  <c r="X46" i="32"/>
  <c r="W46" i="32"/>
  <c r="V46" i="32"/>
  <c r="Y44" i="32"/>
  <c r="X44" i="32"/>
  <c r="W44" i="32"/>
  <c r="V44" i="32"/>
  <c r="Y43" i="32"/>
  <c r="X43" i="32"/>
  <c r="W43" i="32"/>
  <c r="V43" i="32"/>
  <c r="Y42" i="32"/>
  <c r="X42" i="32"/>
  <c r="W42" i="32"/>
  <c r="V42" i="32"/>
  <c r="Y41" i="32"/>
  <c r="X41" i="32"/>
  <c r="W41" i="32"/>
  <c r="V41" i="32"/>
  <c r="X40" i="32"/>
  <c r="W40" i="32"/>
  <c r="V40" i="32"/>
  <c r="Y39" i="32"/>
  <c r="X39" i="32"/>
  <c r="W39" i="32"/>
  <c r="V39" i="32"/>
  <c r="Y38" i="32"/>
  <c r="X38" i="32"/>
  <c r="W38" i="32"/>
  <c r="V38" i="32"/>
  <c r="Y34" i="32"/>
  <c r="X34" i="32"/>
  <c r="W34" i="32"/>
  <c r="V34" i="32"/>
  <c r="Y32" i="32"/>
  <c r="X32" i="32"/>
  <c r="W32" i="32"/>
  <c r="V32" i="32"/>
  <c r="Y31" i="32"/>
  <c r="X31" i="32"/>
  <c r="W31" i="32"/>
  <c r="V31" i="32"/>
  <c r="Y30" i="32"/>
  <c r="X30" i="32"/>
  <c r="W30" i="32"/>
  <c r="V30" i="32"/>
  <c r="Y29" i="32"/>
  <c r="X29" i="32"/>
  <c r="W29" i="32"/>
  <c r="V29" i="32"/>
  <c r="Y28" i="32"/>
  <c r="X28" i="32"/>
  <c r="W28" i="32"/>
  <c r="V28" i="32"/>
  <c r="Y27" i="32"/>
  <c r="X27" i="32"/>
  <c r="W27" i="32"/>
  <c r="V27" i="32"/>
  <c r="Y23" i="32"/>
  <c r="X23" i="32"/>
  <c r="W23" i="32"/>
  <c r="V23" i="32"/>
  <c r="Y22" i="32"/>
  <c r="X22" i="32"/>
  <c r="W22" i="32"/>
  <c r="V22" i="32"/>
  <c r="Y21" i="32"/>
  <c r="X21" i="32"/>
  <c r="W21" i="32"/>
  <c r="V21" i="32"/>
  <c r="Y20" i="32"/>
  <c r="X20" i="32"/>
  <c r="W20" i="32"/>
  <c r="V20" i="32"/>
  <c r="Y19" i="32"/>
  <c r="X19" i="32"/>
  <c r="W19" i="32"/>
  <c r="V19" i="32"/>
  <c r="Y18" i="32"/>
  <c r="X18" i="32"/>
  <c r="W18" i="32"/>
  <c r="V18" i="32"/>
  <c r="V17" i="32"/>
  <c r="Z17" i="32" s="1"/>
  <c r="Y16" i="32"/>
  <c r="X16" i="32"/>
  <c r="W16" i="32"/>
  <c r="V16" i="32"/>
  <c r="Y15" i="32"/>
  <c r="X15" i="32"/>
  <c r="W15" i="32"/>
  <c r="V15" i="32"/>
  <c r="Y13" i="32"/>
  <c r="X13" i="32"/>
  <c r="W13" i="32"/>
  <c r="V13" i="32"/>
  <c r="Y11" i="32"/>
  <c r="X11" i="32"/>
  <c r="W11" i="32"/>
  <c r="V11" i="32"/>
  <c r="Y8" i="32"/>
  <c r="X8" i="32"/>
  <c r="W8" i="32"/>
  <c r="V8" i="32"/>
  <c r="AD61" i="32"/>
  <c r="AC61" i="32"/>
  <c r="AB61" i="32"/>
  <c r="AD60" i="32"/>
  <c r="AC60" i="32"/>
  <c r="AB60" i="32"/>
  <c r="AD51" i="32"/>
  <c r="AC51" i="32"/>
  <c r="AB51" i="32"/>
  <c r="AA51" i="32"/>
  <c r="AD48" i="32"/>
  <c r="AC48" i="32"/>
  <c r="AB48" i="32"/>
  <c r="AA48" i="32"/>
  <c r="AD47" i="32"/>
  <c r="AC47" i="32"/>
  <c r="AB47" i="32"/>
  <c r="AA47" i="32"/>
  <c r="AD46" i="32"/>
  <c r="AC46" i="32"/>
  <c r="AB46" i="32"/>
  <c r="AA46" i="32"/>
  <c r="AD44" i="32"/>
  <c r="AC44" i="32"/>
  <c r="AB44" i="32"/>
  <c r="AA44" i="32"/>
  <c r="AD43" i="32"/>
  <c r="AC43" i="32"/>
  <c r="AB43" i="32"/>
  <c r="AA43" i="32"/>
  <c r="AD42" i="32"/>
  <c r="AC42" i="32"/>
  <c r="AB42" i="32"/>
  <c r="AA42" i="32"/>
  <c r="AD41" i="32"/>
  <c r="AC41" i="32"/>
  <c r="AB41" i="32"/>
  <c r="AA41" i="32"/>
  <c r="AD40" i="32"/>
  <c r="AC40" i="32"/>
  <c r="AB40" i="32"/>
  <c r="AA40" i="32"/>
  <c r="AD39" i="32"/>
  <c r="AC39" i="32"/>
  <c r="AB39" i="32"/>
  <c r="AA39" i="32"/>
  <c r="AD38" i="32"/>
  <c r="AC38" i="32"/>
  <c r="AB38" i="32"/>
  <c r="AA38" i="32"/>
  <c r="AD34" i="32"/>
  <c r="AC34" i="32"/>
  <c r="AB34" i="32"/>
  <c r="AA34" i="32"/>
  <c r="AD32" i="32"/>
  <c r="AC32" i="32"/>
  <c r="AB32" i="32"/>
  <c r="AA32" i="32"/>
  <c r="AD31" i="32"/>
  <c r="AC31" i="32"/>
  <c r="AB31" i="32"/>
  <c r="AA31" i="32"/>
  <c r="AD30" i="32"/>
  <c r="AC30" i="32"/>
  <c r="AB30" i="32"/>
  <c r="AA30" i="32"/>
  <c r="AD29" i="32"/>
  <c r="AC29" i="32"/>
  <c r="AB29" i="32"/>
  <c r="AA29" i="32"/>
  <c r="AD28" i="32"/>
  <c r="AC28" i="32"/>
  <c r="AB28" i="32"/>
  <c r="AA28" i="32"/>
  <c r="AD27" i="32"/>
  <c r="AC27" i="32"/>
  <c r="AB27" i="32"/>
  <c r="AA27" i="32"/>
  <c r="AD23" i="32"/>
  <c r="AC23" i="32"/>
  <c r="AB23" i="32"/>
  <c r="AA23" i="32"/>
  <c r="AD22" i="32"/>
  <c r="AC22" i="32"/>
  <c r="AB22" i="32"/>
  <c r="AA22" i="32"/>
  <c r="AD21" i="32"/>
  <c r="AC21" i="32"/>
  <c r="AB21" i="32"/>
  <c r="AA21" i="32"/>
  <c r="AD20" i="32"/>
  <c r="AC20" i="32"/>
  <c r="AB20" i="32"/>
  <c r="AA20" i="32"/>
  <c r="AD19" i="32"/>
  <c r="AC19" i="32"/>
  <c r="AB19" i="32"/>
  <c r="AA19" i="32"/>
  <c r="AD18" i="32"/>
  <c r="AC18" i="32"/>
  <c r="AB18" i="32"/>
  <c r="AA18" i="32"/>
  <c r="AA17" i="32"/>
  <c r="AE17" i="32" s="1"/>
  <c r="AD16" i="32"/>
  <c r="AC16" i="32"/>
  <c r="AB16" i="32"/>
  <c r="AA16" i="32"/>
  <c r="AD15" i="32"/>
  <c r="AC15" i="32"/>
  <c r="AB15" i="32"/>
  <c r="AA15" i="32"/>
  <c r="AD13" i="32"/>
  <c r="AC13" i="32"/>
  <c r="AB13" i="32"/>
  <c r="AA13" i="32"/>
  <c r="AD11" i="32"/>
  <c r="AC11" i="32"/>
  <c r="AB11" i="32"/>
  <c r="AA11" i="32"/>
  <c r="AD8" i="32"/>
  <c r="AC8" i="32"/>
  <c r="AB8" i="32"/>
  <c r="AA8" i="32"/>
  <c r="AI61" i="32"/>
  <c r="AH61" i="32"/>
  <c r="AG61" i="32"/>
  <c r="AI60" i="32"/>
  <c r="AH60" i="32"/>
  <c r="AG60" i="32"/>
  <c r="AI51" i="32"/>
  <c r="AH51" i="32"/>
  <c r="AG51" i="32"/>
  <c r="AF51" i="32"/>
  <c r="AI48" i="32"/>
  <c r="AH48" i="32"/>
  <c r="AG48" i="32"/>
  <c r="AF48" i="32"/>
  <c r="AI47" i="32"/>
  <c r="AH47" i="32"/>
  <c r="AG47" i="32"/>
  <c r="AF47" i="32"/>
  <c r="AI46" i="32"/>
  <c r="AH46" i="32"/>
  <c r="AG46" i="32"/>
  <c r="AF46" i="32"/>
  <c r="AI44" i="32"/>
  <c r="AH44" i="32"/>
  <c r="AG44" i="32"/>
  <c r="AF44" i="32"/>
  <c r="AI43" i="32"/>
  <c r="AH43" i="32"/>
  <c r="AG43" i="32"/>
  <c r="AF43" i="32"/>
  <c r="AI42" i="32"/>
  <c r="AH42" i="32"/>
  <c r="AG42" i="32"/>
  <c r="AF42" i="32"/>
  <c r="AI41" i="32"/>
  <c r="AH41" i="32"/>
  <c r="AG41" i="32"/>
  <c r="AF41" i="32"/>
  <c r="AF40" i="32"/>
  <c r="AI39" i="32"/>
  <c r="AH39" i="32"/>
  <c r="AG39" i="32"/>
  <c r="AF39" i="32"/>
  <c r="AI38" i="32"/>
  <c r="AH38" i="32"/>
  <c r="AG38" i="32"/>
  <c r="AF38" i="32"/>
  <c r="AI34" i="32"/>
  <c r="AH34" i="32"/>
  <c r="AG34" i="32"/>
  <c r="AF34" i="32"/>
  <c r="AI32" i="32"/>
  <c r="AH32" i="32"/>
  <c r="AG32" i="32"/>
  <c r="AF32" i="32"/>
  <c r="AI31" i="32"/>
  <c r="AH31" i="32"/>
  <c r="AG31" i="32"/>
  <c r="AF31" i="32"/>
  <c r="AI30" i="32"/>
  <c r="AH30" i="32"/>
  <c r="AG30" i="32"/>
  <c r="AF30" i="32"/>
  <c r="AI29" i="32"/>
  <c r="AH29" i="32"/>
  <c r="AG29" i="32"/>
  <c r="AF29" i="32"/>
  <c r="AI28" i="32"/>
  <c r="AH28" i="32"/>
  <c r="AG28" i="32"/>
  <c r="AF28" i="32"/>
  <c r="AI27" i="32"/>
  <c r="AH27" i="32"/>
  <c r="AG27" i="32"/>
  <c r="AF27" i="32"/>
  <c r="AI23" i="32"/>
  <c r="AH23" i="32"/>
  <c r="AG23" i="32"/>
  <c r="AF23" i="32"/>
  <c r="AI22" i="32"/>
  <c r="AH22" i="32"/>
  <c r="AG22" i="32"/>
  <c r="AF22" i="32"/>
  <c r="AI21" i="32"/>
  <c r="AH21" i="32"/>
  <c r="AG21" i="32"/>
  <c r="AF21" i="32"/>
  <c r="AI20" i="32"/>
  <c r="AH20" i="32"/>
  <c r="AG20" i="32"/>
  <c r="AF20" i="32"/>
  <c r="AI19" i="32"/>
  <c r="AH19" i="32"/>
  <c r="AG19" i="32"/>
  <c r="AF19" i="32"/>
  <c r="AI18" i="32"/>
  <c r="AH18" i="32"/>
  <c r="AG18" i="32"/>
  <c r="AF18" i="32"/>
  <c r="AF17" i="32"/>
  <c r="AJ17" i="32" s="1"/>
  <c r="AI16" i="32"/>
  <c r="AH16" i="32"/>
  <c r="AG16" i="32"/>
  <c r="AF16" i="32"/>
  <c r="AI15" i="32"/>
  <c r="AH15" i="32"/>
  <c r="AG15" i="32"/>
  <c r="AF15" i="32"/>
  <c r="AI13" i="32"/>
  <c r="AH13" i="32"/>
  <c r="AG13" i="32"/>
  <c r="AF13" i="32"/>
  <c r="AI11" i="32"/>
  <c r="AH11" i="32"/>
  <c r="AG11" i="32"/>
  <c r="AF11" i="32"/>
  <c r="AI8" i="32"/>
  <c r="AH8" i="32"/>
  <c r="AG8" i="32"/>
  <c r="AF8" i="32"/>
  <c r="AN61" i="32"/>
  <c r="AM61" i="32"/>
  <c r="AL61" i="32"/>
  <c r="AN60" i="32"/>
  <c r="AM60" i="32"/>
  <c r="AL60" i="32"/>
  <c r="AN51" i="32"/>
  <c r="AM51" i="32"/>
  <c r="AL51" i="32"/>
  <c r="AK51" i="32"/>
  <c r="AN48" i="32"/>
  <c r="AM48" i="32"/>
  <c r="AL48" i="32"/>
  <c r="AK48" i="32"/>
  <c r="AN47" i="32"/>
  <c r="AM47" i="32"/>
  <c r="AL47" i="32"/>
  <c r="AK47" i="32"/>
  <c r="AN46" i="32"/>
  <c r="AM46" i="32"/>
  <c r="AL46" i="32"/>
  <c r="AK46" i="32"/>
  <c r="AN44" i="32"/>
  <c r="AM44" i="32"/>
  <c r="AL44" i="32"/>
  <c r="AK44" i="32"/>
  <c r="AN43" i="32"/>
  <c r="AM43" i="32"/>
  <c r="AL43" i="32"/>
  <c r="AK43" i="32"/>
  <c r="AN42" i="32"/>
  <c r="AM42" i="32"/>
  <c r="AL42" i="32"/>
  <c r="AK42" i="32"/>
  <c r="AN41" i="32"/>
  <c r="AM41" i="32"/>
  <c r="AL41" i="32"/>
  <c r="AK41" i="32"/>
  <c r="AN40" i="32"/>
  <c r="AM40" i="32"/>
  <c r="AL40" i="32"/>
  <c r="AK40" i="32"/>
  <c r="AN39" i="32"/>
  <c r="AM39" i="32"/>
  <c r="AL39" i="32"/>
  <c r="AK39" i="32"/>
  <c r="AN38" i="32"/>
  <c r="AM38" i="32"/>
  <c r="AL38" i="32"/>
  <c r="AK38" i="32"/>
  <c r="AN34" i="32"/>
  <c r="AM34" i="32"/>
  <c r="AL34" i="32"/>
  <c r="AK34" i="32"/>
  <c r="AN32" i="32"/>
  <c r="AM32" i="32"/>
  <c r="AL32" i="32"/>
  <c r="AK32" i="32"/>
  <c r="AN31" i="32"/>
  <c r="AM31" i="32"/>
  <c r="AL31" i="32"/>
  <c r="AK31" i="32"/>
  <c r="AN30" i="32"/>
  <c r="AM30" i="32"/>
  <c r="AL30" i="32"/>
  <c r="AK30" i="32"/>
  <c r="AN29" i="32"/>
  <c r="AM29" i="32"/>
  <c r="AL29" i="32"/>
  <c r="AK29" i="32"/>
  <c r="AN28" i="32"/>
  <c r="AM28" i="32"/>
  <c r="AL28" i="32"/>
  <c r="AK28" i="32"/>
  <c r="AN27" i="32"/>
  <c r="AM27" i="32"/>
  <c r="AL27" i="32"/>
  <c r="AK27" i="32"/>
  <c r="AN23" i="32"/>
  <c r="AM23" i="32"/>
  <c r="AL23" i="32"/>
  <c r="AK23" i="32"/>
  <c r="AN22" i="32"/>
  <c r="AM22" i="32"/>
  <c r="AL22" i="32"/>
  <c r="AK22" i="32"/>
  <c r="AN21" i="32"/>
  <c r="AM21" i="32"/>
  <c r="AL21" i="32"/>
  <c r="AK21" i="32"/>
  <c r="AN20" i="32"/>
  <c r="AM20" i="32"/>
  <c r="AL20" i="32"/>
  <c r="AK20" i="32"/>
  <c r="AN19" i="32"/>
  <c r="AM19" i="32"/>
  <c r="AL19" i="32"/>
  <c r="AK19" i="32"/>
  <c r="AN18" i="32"/>
  <c r="AM18" i="32"/>
  <c r="AL18" i="32"/>
  <c r="AK18" i="32"/>
  <c r="AK17" i="32"/>
  <c r="AO17" i="32" s="1"/>
  <c r="AN16" i="32"/>
  <c r="AM16" i="32"/>
  <c r="AL16" i="32"/>
  <c r="AK16" i="32"/>
  <c r="AN15" i="32"/>
  <c r="AM15" i="32"/>
  <c r="AL15" i="32"/>
  <c r="AK15" i="32"/>
  <c r="AN13" i="32"/>
  <c r="AM13" i="32"/>
  <c r="AL13" i="32"/>
  <c r="AK13" i="32"/>
  <c r="AN12" i="32"/>
  <c r="AN11" i="32"/>
  <c r="AM11" i="32"/>
  <c r="AL11" i="32"/>
  <c r="AK11" i="32"/>
  <c r="AN8" i="32"/>
  <c r="AM8" i="32"/>
  <c r="AL8" i="32"/>
  <c r="AK8" i="32"/>
  <c r="AS61" i="32"/>
  <c r="AR61" i="32"/>
  <c r="AQ61" i="32"/>
  <c r="AS60" i="32"/>
  <c r="AR60" i="32"/>
  <c r="AQ60" i="32"/>
  <c r="AS51" i="32"/>
  <c r="AR51" i="32"/>
  <c r="AQ51" i="32"/>
  <c r="AP51" i="32"/>
  <c r="AS48" i="32"/>
  <c r="AR48" i="32"/>
  <c r="AQ48" i="32"/>
  <c r="AP48" i="32"/>
  <c r="AS47" i="32"/>
  <c r="AR47" i="32"/>
  <c r="AQ47" i="32"/>
  <c r="AP47" i="32"/>
  <c r="AS46" i="32"/>
  <c r="AR46" i="32"/>
  <c r="AQ46" i="32"/>
  <c r="AP46" i="32"/>
  <c r="AS44" i="32"/>
  <c r="AR44" i="32"/>
  <c r="AQ44" i="32"/>
  <c r="AP44" i="32"/>
  <c r="AS43" i="32"/>
  <c r="AR43" i="32"/>
  <c r="AQ43" i="32"/>
  <c r="AP43" i="32"/>
  <c r="AS42" i="32"/>
  <c r="AR42" i="32"/>
  <c r="AQ42" i="32"/>
  <c r="AP42" i="32"/>
  <c r="AS41" i="32"/>
  <c r="AR41" i="32"/>
  <c r="AQ41" i="32"/>
  <c r="AP41" i="32"/>
  <c r="AS40" i="32"/>
  <c r="AR40" i="32"/>
  <c r="AQ40" i="32"/>
  <c r="AP40" i="32"/>
  <c r="AS39" i="32"/>
  <c r="AR39" i="32"/>
  <c r="AQ39" i="32"/>
  <c r="AP39" i="32"/>
  <c r="AS38" i="32"/>
  <c r="AR38" i="32"/>
  <c r="AQ38" i="32"/>
  <c r="AP38" i="32"/>
  <c r="AS34" i="32"/>
  <c r="AR34" i="32"/>
  <c r="AQ34" i="32"/>
  <c r="AP34" i="32"/>
  <c r="AS32" i="32"/>
  <c r="AR32" i="32"/>
  <c r="AQ32" i="32"/>
  <c r="AP32" i="32"/>
  <c r="AS31" i="32"/>
  <c r="AR31" i="32"/>
  <c r="AQ31" i="32"/>
  <c r="AP31" i="32"/>
  <c r="AS30" i="32"/>
  <c r="AR30" i="32"/>
  <c r="AQ30" i="32"/>
  <c r="AP30" i="32"/>
  <c r="AS29" i="32"/>
  <c r="AR29" i="32"/>
  <c r="AQ29" i="32"/>
  <c r="AP29" i="32"/>
  <c r="AS28" i="32"/>
  <c r="AR28" i="32"/>
  <c r="AQ28" i="32"/>
  <c r="AP28" i="32"/>
  <c r="AS27" i="32"/>
  <c r="AR27" i="32"/>
  <c r="AQ27" i="32"/>
  <c r="AP27" i="32"/>
  <c r="AS23" i="32"/>
  <c r="AR23" i="32"/>
  <c r="AQ23" i="32"/>
  <c r="AP23" i="32"/>
  <c r="AS22" i="32"/>
  <c r="AR22" i="32"/>
  <c r="AQ22" i="32"/>
  <c r="AP22" i="32"/>
  <c r="AS21" i="32"/>
  <c r="AR21" i="32"/>
  <c r="AQ21" i="32"/>
  <c r="AP21" i="32"/>
  <c r="AS20" i="32"/>
  <c r="AR20" i="32"/>
  <c r="AQ20" i="32"/>
  <c r="AP20" i="32"/>
  <c r="AS19" i="32"/>
  <c r="AR19" i="32"/>
  <c r="AQ19" i="32"/>
  <c r="AP19" i="32"/>
  <c r="AS18" i="32"/>
  <c r="AR18" i="32"/>
  <c r="AQ18" i="32"/>
  <c r="AP18" i="32"/>
  <c r="AP17" i="32"/>
  <c r="AT17" i="32" s="1"/>
  <c r="AS16" i="32"/>
  <c r="AR16" i="32"/>
  <c r="AQ16" i="32"/>
  <c r="AP16" i="32"/>
  <c r="AS15" i="32"/>
  <c r="AR15" i="32"/>
  <c r="AQ15" i="32"/>
  <c r="AP15" i="32"/>
  <c r="AS13" i="32"/>
  <c r="AR13" i="32"/>
  <c r="AQ13" i="32"/>
  <c r="AP13" i="32"/>
  <c r="AS11" i="32"/>
  <c r="AR11" i="32"/>
  <c r="AQ11" i="32"/>
  <c r="AP11" i="32"/>
  <c r="AS8" i="32"/>
  <c r="AR8" i="32"/>
  <c r="AQ8" i="32"/>
  <c r="AP8" i="32"/>
  <c r="AX61" i="32"/>
  <c r="AW61" i="32"/>
  <c r="AV61" i="32"/>
  <c r="AX60" i="32"/>
  <c r="AW60" i="32"/>
  <c r="AV60" i="32"/>
  <c r="AX51" i="32"/>
  <c r="AW51" i="32"/>
  <c r="AV51" i="32"/>
  <c r="AU51" i="32"/>
  <c r="AX48" i="32"/>
  <c r="AW48" i="32"/>
  <c r="AV48" i="32"/>
  <c r="AU48" i="32"/>
  <c r="AX47" i="32"/>
  <c r="AW47" i="32"/>
  <c r="AV47" i="32"/>
  <c r="AU47" i="32"/>
  <c r="AX46" i="32"/>
  <c r="AW46" i="32"/>
  <c r="AV46" i="32"/>
  <c r="AU46" i="32"/>
  <c r="AX44" i="32"/>
  <c r="AW44" i="32"/>
  <c r="AV44" i="32"/>
  <c r="AU44" i="32"/>
  <c r="AX43" i="32"/>
  <c r="AW43" i="32"/>
  <c r="AV43" i="32"/>
  <c r="AU43" i="32"/>
  <c r="AX42" i="32"/>
  <c r="AW42" i="32"/>
  <c r="AV42" i="32"/>
  <c r="AU42" i="32"/>
  <c r="AX41" i="32"/>
  <c r="AW41" i="32"/>
  <c r="AV41" i="32"/>
  <c r="AU41" i="32"/>
  <c r="AX40" i="32"/>
  <c r="AW40" i="32"/>
  <c r="AV40" i="32"/>
  <c r="AU40" i="32"/>
  <c r="AX39" i="32"/>
  <c r="AW39" i="32"/>
  <c r="AV39" i="32"/>
  <c r="AU39" i="32"/>
  <c r="AX38" i="32"/>
  <c r="AW38" i="32"/>
  <c r="AV38" i="32"/>
  <c r="AU38" i="32"/>
  <c r="AX34" i="32"/>
  <c r="AW34" i="32"/>
  <c r="AV34" i="32"/>
  <c r="AU34" i="32"/>
  <c r="AX32" i="32"/>
  <c r="AW32" i="32"/>
  <c r="AV32" i="32"/>
  <c r="AU32" i="32"/>
  <c r="AX31" i="32"/>
  <c r="AW31" i="32"/>
  <c r="AV31" i="32"/>
  <c r="AU31" i="32"/>
  <c r="AX30" i="32"/>
  <c r="AW30" i="32"/>
  <c r="AV30" i="32"/>
  <c r="AU30" i="32"/>
  <c r="AX29" i="32"/>
  <c r="AW29" i="32"/>
  <c r="AV29" i="32"/>
  <c r="AU29" i="32"/>
  <c r="AX28" i="32"/>
  <c r="AW28" i="32"/>
  <c r="AV28" i="32"/>
  <c r="AU28" i="32"/>
  <c r="AX27" i="32"/>
  <c r="AW27" i="32"/>
  <c r="AV27" i="32"/>
  <c r="AU27" i="32"/>
  <c r="AX23" i="32"/>
  <c r="AW23" i="32"/>
  <c r="AV23" i="32"/>
  <c r="AU23" i="32"/>
  <c r="AX22" i="32"/>
  <c r="AW22" i="32"/>
  <c r="AV22" i="32"/>
  <c r="AU22" i="32"/>
  <c r="AX21" i="32"/>
  <c r="AW21" i="32"/>
  <c r="AV21" i="32"/>
  <c r="AU21" i="32"/>
  <c r="AX20" i="32"/>
  <c r="AW20" i="32"/>
  <c r="AV20" i="32"/>
  <c r="AU20" i="32"/>
  <c r="AX19" i="32"/>
  <c r="AW19" i="32"/>
  <c r="AV19" i="32"/>
  <c r="AU19" i="32"/>
  <c r="AX18" i="32"/>
  <c r="AW18" i="32"/>
  <c r="AV18" i="32"/>
  <c r="AU18" i="32"/>
  <c r="AU17" i="32"/>
  <c r="AY17" i="32" s="1"/>
  <c r="AX16" i="32"/>
  <c r="AW16" i="32"/>
  <c r="AV16" i="32"/>
  <c r="AU16" i="32"/>
  <c r="AX15" i="32"/>
  <c r="AW15" i="32"/>
  <c r="AV15" i="32"/>
  <c r="AU15" i="32"/>
  <c r="AX13" i="32"/>
  <c r="AW13" i="32"/>
  <c r="AV13" i="32"/>
  <c r="AU13" i="32"/>
  <c r="AX11" i="32"/>
  <c r="AW11" i="32"/>
  <c r="AV11" i="32"/>
  <c r="AU11" i="32"/>
  <c r="AX8" i="32"/>
  <c r="AW8" i="32"/>
  <c r="AV8" i="32"/>
  <c r="AU8" i="32"/>
  <c r="AZ51" i="32"/>
  <c r="AZ48" i="32"/>
  <c r="AZ47" i="32"/>
  <c r="AZ46" i="32"/>
  <c r="AZ44" i="32"/>
  <c r="AZ43" i="32"/>
  <c r="AZ42" i="32"/>
  <c r="AZ41" i="32"/>
  <c r="AZ40" i="32"/>
  <c r="AZ39" i="32"/>
  <c r="AZ38" i="32"/>
  <c r="AZ34" i="32"/>
  <c r="AZ32" i="32"/>
  <c r="AZ31" i="32"/>
  <c r="AZ30" i="32"/>
  <c r="AZ29" i="32"/>
  <c r="AZ28" i="32"/>
  <c r="AZ27" i="32"/>
  <c r="AZ23" i="32"/>
  <c r="AZ22" i="32"/>
  <c r="AZ21" i="32"/>
  <c r="AZ20" i="32"/>
  <c r="AZ19" i="32"/>
  <c r="AZ18" i="32"/>
  <c r="AZ17" i="32"/>
  <c r="BD17" i="32" s="1"/>
  <c r="AZ16" i="32"/>
  <c r="AZ15" i="32"/>
  <c r="AZ13" i="32"/>
  <c r="AZ11" i="32"/>
  <c r="AZ8" i="32"/>
  <c r="BA61" i="32"/>
  <c r="BA60" i="32"/>
  <c r="BA51" i="32"/>
  <c r="BA48" i="32"/>
  <c r="BA47" i="32"/>
  <c r="BA46" i="32"/>
  <c r="BA44" i="32"/>
  <c r="BA43" i="32"/>
  <c r="BA42" i="32"/>
  <c r="BA41" i="32"/>
  <c r="BA40" i="32"/>
  <c r="BA39" i="32"/>
  <c r="BA38" i="32"/>
  <c r="BA34" i="32"/>
  <c r="BA32" i="32"/>
  <c r="BA31" i="32"/>
  <c r="BA30" i="32"/>
  <c r="BA29" i="32"/>
  <c r="BA28" i="32"/>
  <c r="BA27" i="32"/>
  <c r="BA23" i="32"/>
  <c r="BA22" i="32"/>
  <c r="BA21" i="32"/>
  <c r="BA20" i="32"/>
  <c r="BA19" i="32"/>
  <c r="BA18" i="32"/>
  <c r="BA16" i="32"/>
  <c r="BA15" i="32"/>
  <c r="BA13" i="32"/>
  <c r="BA11" i="32"/>
  <c r="BB61" i="32"/>
  <c r="BB60" i="32"/>
  <c r="BB51" i="32"/>
  <c r="BB48" i="32"/>
  <c r="BB47" i="32"/>
  <c r="BB46" i="32"/>
  <c r="BB44" i="32"/>
  <c r="BB66" i="32" s="1"/>
  <c r="BB43" i="32"/>
  <c r="BB42" i="32"/>
  <c r="BB41" i="32"/>
  <c r="BB40" i="32"/>
  <c r="BB39" i="32"/>
  <c r="BB38" i="32"/>
  <c r="BB34" i="32"/>
  <c r="BB32" i="32"/>
  <c r="BB31" i="32"/>
  <c r="BB30" i="32"/>
  <c r="BB29" i="32"/>
  <c r="BB28" i="32"/>
  <c r="BB27" i="32"/>
  <c r="BB23" i="32"/>
  <c r="BB22" i="32"/>
  <c r="BB21" i="32"/>
  <c r="BB20" i="32"/>
  <c r="BB19" i="32"/>
  <c r="BB18" i="32"/>
  <c r="BB16" i="32"/>
  <c r="BB15" i="32"/>
  <c r="BB13" i="32"/>
  <c r="BB11" i="32"/>
  <c r="BB8" i="32"/>
  <c r="BC61" i="32"/>
  <c r="BC60" i="32"/>
  <c r="BC51" i="32"/>
  <c r="BC48" i="32"/>
  <c r="BC47" i="32"/>
  <c r="BC46" i="32"/>
  <c r="BC44" i="32"/>
  <c r="BC43" i="32"/>
  <c r="BC42" i="32"/>
  <c r="BC41" i="32"/>
  <c r="BC40" i="32"/>
  <c r="BC39" i="32"/>
  <c r="BC38" i="32"/>
  <c r="BC34" i="32"/>
  <c r="BC32" i="32"/>
  <c r="BC31" i="32"/>
  <c r="BC30" i="32"/>
  <c r="BC29" i="32"/>
  <c r="BC28" i="32"/>
  <c r="BC27" i="32"/>
  <c r="BC23" i="32"/>
  <c r="BC19" i="32"/>
  <c r="BC20" i="32"/>
  <c r="BC21" i="32"/>
  <c r="BC22" i="32"/>
  <c r="BC18" i="32"/>
  <c r="BC11" i="32"/>
  <c r="BC13" i="32"/>
  <c r="BC15" i="32"/>
  <c r="BC16" i="32"/>
  <c r="BC8" i="32"/>
  <c r="O49" i="32" l="1"/>
  <c r="S35" i="32"/>
  <c r="AK35" i="32"/>
  <c r="AB49" i="32"/>
  <c r="L49" i="32"/>
  <c r="AM49" i="32"/>
  <c r="V35" i="32"/>
  <c r="AC49" i="32"/>
  <c r="AR49" i="32"/>
  <c r="AM35" i="32"/>
  <c r="BB66" i="27"/>
  <c r="BB65" i="27" s="1"/>
  <c r="AP35" i="32"/>
  <c r="AB35" i="32"/>
  <c r="Q49" i="32"/>
  <c r="AU49" i="32"/>
  <c r="O35" i="32"/>
  <c r="AA49" i="32"/>
  <c r="T49" i="32"/>
  <c r="BB65" i="32"/>
  <c r="BB67" i="32"/>
  <c r="BB67" i="27" s="1"/>
  <c r="BC66" i="32"/>
  <c r="BC65" i="32" s="1"/>
  <c r="T35" i="32"/>
  <c r="Q35" i="32"/>
  <c r="AA35" i="32"/>
  <c r="L35" i="32"/>
  <c r="AF35" i="32"/>
  <c r="AP49" i="32"/>
  <c r="X35" i="32"/>
  <c r="S49" i="32"/>
  <c r="Y35" i="32"/>
  <c r="AK49" i="32"/>
  <c r="AX49" i="32"/>
  <c r="AF49" i="32"/>
  <c r="BD30" i="32"/>
  <c r="BD21" i="32"/>
  <c r="AY8" i="32"/>
  <c r="AY11" i="32"/>
  <c r="AY13" i="32"/>
  <c r="AY15" i="32"/>
  <c r="AY16" i="32"/>
  <c r="X49" i="32"/>
  <c r="AH35" i="32"/>
  <c r="BD28" i="32"/>
  <c r="BD32" i="32"/>
  <c r="V49" i="32"/>
  <c r="BD19" i="32"/>
  <c r="BD29" i="32"/>
  <c r="BD41" i="32"/>
  <c r="BD44" i="32"/>
  <c r="BD38" i="32"/>
  <c r="BD46" i="32"/>
  <c r="AY18" i="32"/>
  <c r="AY32" i="32"/>
  <c r="AY40" i="32"/>
  <c r="AY42" i="32"/>
  <c r="AY44" i="32"/>
  <c r="AY47" i="32"/>
  <c r="AY48" i="32"/>
  <c r="AJ11" i="32"/>
  <c r="AJ13" i="32"/>
  <c r="P11" i="32"/>
  <c r="P16" i="32"/>
  <c r="BD20" i="32"/>
  <c r="BD60" i="32"/>
  <c r="BD11" i="32"/>
  <c r="BD16" i="32"/>
  <c r="BD27" i="32"/>
  <c r="BD31" i="32"/>
  <c r="BD43" i="32"/>
  <c r="BD47" i="32"/>
  <c r="U8" i="32"/>
  <c r="U11" i="32"/>
  <c r="U13" i="32"/>
  <c r="U15" i="32"/>
  <c r="U16" i="32"/>
  <c r="BD15" i="32"/>
  <c r="BD23" i="32"/>
  <c r="BD34" i="32"/>
  <c r="BD51" i="32"/>
  <c r="BD42" i="32"/>
  <c r="AY31" i="32"/>
  <c r="AY34" i="32"/>
  <c r="AY39" i="32"/>
  <c r="AY41" i="32"/>
  <c r="AY43" i="32"/>
  <c r="AY46" i="32"/>
  <c r="AY51" i="32"/>
  <c r="AJ8" i="32"/>
  <c r="AJ15" i="32"/>
  <c r="P8" i="32"/>
  <c r="P13" i="32"/>
  <c r="P15" i="32"/>
  <c r="BD13" i="32"/>
  <c r="BD18" i="32"/>
  <c r="BD22" i="32"/>
  <c r="BD40" i="32"/>
  <c r="BD48" i="32"/>
  <c r="AQ35" i="32"/>
  <c r="AQ49" i="32"/>
  <c r="N35" i="32"/>
  <c r="N49" i="32"/>
  <c r="BC35" i="32"/>
  <c r="BA49" i="32"/>
  <c r="AZ35" i="32"/>
  <c r="AW35" i="32"/>
  <c r="AV49" i="32"/>
  <c r="AO8" i="32"/>
  <c r="AO11" i="32"/>
  <c r="AO13" i="32"/>
  <c r="AO15" i="32"/>
  <c r="AO16" i="32"/>
  <c r="AN35" i="32"/>
  <c r="AN49" i="32"/>
  <c r="AO61" i="32"/>
  <c r="AJ16" i="32"/>
  <c r="AI35" i="32"/>
  <c r="AJ61" i="32"/>
  <c r="AE18" i="32"/>
  <c r="AE19" i="32"/>
  <c r="AE20" i="32"/>
  <c r="AE21" i="32"/>
  <c r="AE22" i="32"/>
  <c r="AE23" i="32"/>
  <c r="AE28" i="32"/>
  <c r="AE29" i="32"/>
  <c r="AE30" i="32"/>
  <c r="AE31" i="32"/>
  <c r="AE32" i="32"/>
  <c r="AV35" i="32"/>
  <c r="AW49" i="32"/>
  <c r="AT11" i="32"/>
  <c r="AT13" i="32"/>
  <c r="AT16" i="32"/>
  <c r="AS35" i="32"/>
  <c r="AS49" i="32"/>
  <c r="AO18" i="32"/>
  <c r="AO19" i="32"/>
  <c r="AO20" i="32"/>
  <c r="AO21" i="32"/>
  <c r="AO22" i="32"/>
  <c r="AO23" i="32"/>
  <c r="AO28" i="32"/>
  <c r="AO29" i="32"/>
  <c r="AO30" i="32"/>
  <c r="AO31" i="32"/>
  <c r="AO32" i="32"/>
  <c r="AO34" i="32"/>
  <c r="AO39" i="32"/>
  <c r="AO40" i="32"/>
  <c r="AO41" i="32"/>
  <c r="AO42" i="32"/>
  <c r="AO43" i="32"/>
  <c r="AO44" i="32"/>
  <c r="AO46" i="32"/>
  <c r="AO47" i="32"/>
  <c r="AO48" i="32"/>
  <c r="AO51" i="32"/>
  <c r="AO60" i="32"/>
  <c r="AJ18" i="32"/>
  <c r="AJ19" i="32"/>
  <c r="AJ20" i="32"/>
  <c r="AJ21" i="32"/>
  <c r="AJ22" i="32"/>
  <c r="AJ23" i="32"/>
  <c r="AJ28" i="32"/>
  <c r="AJ29" i="32"/>
  <c r="AJ30" i="32"/>
  <c r="AJ31" i="32"/>
  <c r="AJ32" i="32"/>
  <c r="AJ34" i="32"/>
  <c r="AJ39" i="32"/>
  <c r="AJ41" i="32"/>
  <c r="AJ42" i="32"/>
  <c r="AJ43" i="32"/>
  <c r="AJ44" i="32"/>
  <c r="AJ46" i="32"/>
  <c r="AJ47" i="32"/>
  <c r="AJ48" i="32"/>
  <c r="AJ51" i="32"/>
  <c r="BC49" i="32"/>
  <c r="BB49" i="32"/>
  <c r="AZ49" i="32"/>
  <c r="BD8" i="32"/>
  <c r="BD39" i="32"/>
  <c r="AX35" i="32"/>
  <c r="AT8" i="32"/>
  <c r="AT15" i="32"/>
  <c r="BB35" i="32"/>
  <c r="AY19" i="32"/>
  <c r="AY20" i="32"/>
  <c r="AY21" i="32"/>
  <c r="AY22" i="32"/>
  <c r="AY23" i="32"/>
  <c r="AU35" i="32"/>
  <c r="AY28" i="32"/>
  <c r="AY29" i="32"/>
  <c r="AY30" i="32"/>
  <c r="AY61" i="32"/>
  <c r="AT18" i="32"/>
  <c r="AT19" i="32"/>
  <c r="AT20" i="32"/>
  <c r="AT21" i="32"/>
  <c r="AT22" i="32"/>
  <c r="AT23" i="32"/>
  <c r="AT28" i="32"/>
  <c r="AT29" i="32"/>
  <c r="AT30" i="32"/>
  <c r="AT31" i="32"/>
  <c r="AT32" i="32"/>
  <c r="AT34" i="32"/>
  <c r="AT39" i="32"/>
  <c r="AT40" i="32"/>
  <c r="AT41" i="32"/>
  <c r="AT42" i="32"/>
  <c r="AT43" i="32"/>
  <c r="AT44" i="32"/>
  <c r="AT46" i="32"/>
  <c r="AT47" i="32"/>
  <c r="AT48" i="32"/>
  <c r="AT51" i="32"/>
  <c r="AL35" i="32"/>
  <c r="AL49" i="32"/>
  <c r="AG35" i="32"/>
  <c r="U22" i="32"/>
  <c r="Z8" i="32"/>
  <c r="Z11" i="32"/>
  <c r="Z13" i="32"/>
  <c r="Z15" i="32"/>
  <c r="Z16" i="32"/>
  <c r="Z61" i="32"/>
  <c r="U18" i="32"/>
  <c r="U19" i="32"/>
  <c r="U20" i="32"/>
  <c r="U21" i="32"/>
  <c r="U61" i="32"/>
  <c r="AE8" i="32"/>
  <c r="AE11" i="32"/>
  <c r="AE13" i="32"/>
  <c r="AE15" i="32"/>
  <c r="AE16" i="32"/>
  <c r="AD35" i="32"/>
  <c r="AD49" i="32"/>
  <c r="AE61" i="32"/>
  <c r="Z18" i="32"/>
  <c r="Z19" i="32"/>
  <c r="Z20" i="32"/>
  <c r="Z21" i="32"/>
  <c r="Z22" i="32"/>
  <c r="Z23" i="32"/>
  <c r="Z28" i="32"/>
  <c r="Z29" i="32"/>
  <c r="Z30" i="32"/>
  <c r="Z31" i="32"/>
  <c r="Z32" i="32"/>
  <c r="Z34" i="32"/>
  <c r="Z39" i="32"/>
  <c r="Z41" i="32"/>
  <c r="Z42" i="32"/>
  <c r="Z43" i="32"/>
  <c r="Z44" i="32"/>
  <c r="Z46" i="32"/>
  <c r="Z47" i="32"/>
  <c r="Z48" i="32"/>
  <c r="Z51" i="32"/>
  <c r="Z60" i="32"/>
  <c r="U23" i="32"/>
  <c r="U28" i="32"/>
  <c r="U29" i="32"/>
  <c r="U30" i="32"/>
  <c r="U31" i="32"/>
  <c r="U32" i="32"/>
  <c r="U34" i="32"/>
  <c r="U39" i="32"/>
  <c r="U40" i="32"/>
  <c r="U41" i="32"/>
  <c r="U42" i="32"/>
  <c r="U43" i="32"/>
  <c r="U44" i="32"/>
  <c r="U46" i="32"/>
  <c r="U47" i="32"/>
  <c r="U48" i="32"/>
  <c r="U51" i="32"/>
  <c r="P18" i="32"/>
  <c r="P19" i="32"/>
  <c r="P20" i="32"/>
  <c r="P21" i="32"/>
  <c r="P22" i="32"/>
  <c r="P23" i="32"/>
  <c r="P28" i="32"/>
  <c r="P29" i="32"/>
  <c r="P30" i="32"/>
  <c r="P31" i="32"/>
  <c r="P32" i="32"/>
  <c r="P34" i="32"/>
  <c r="P39" i="32"/>
  <c r="P40" i="32"/>
  <c r="P41" i="32"/>
  <c r="P42" i="32"/>
  <c r="P43" i="32"/>
  <c r="P44" i="32"/>
  <c r="P46" i="32"/>
  <c r="P47" i="32"/>
  <c r="P48" i="32"/>
  <c r="P51" i="32"/>
  <c r="AE34" i="32"/>
  <c r="AE39" i="32"/>
  <c r="AE40" i="32"/>
  <c r="AE41" i="32"/>
  <c r="AE42" i="32"/>
  <c r="AE43" i="32"/>
  <c r="AE44" i="32"/>
  <c r="AE46" i="32"/>
  <c r="AE47" i="32"/>
  <c r="AE48" i="32"/>
  <c r="AE51" i="32"/>
  <c r="W35" i="32"/>
  <c r="W49" i="32"/>
  <c r="R35" i="32"/>
  <c r="R49" i="32"/>
  <c r="M35" i="32"/>
  <c r="M49" i="32"/>
  <c r="P61" i="32"/>
  <c r="BD61" i="32"/>
  <c r="P60" i="32"/>
  <c r="U60" i="32"/>
  <c r="AE60" i="32"/>
  <c r="AJ60" i="32"/>
  <c r="AT61" i="32"/>
  <c r="AT60" i="32"/>
  <c r="AY60" i="32"/>
  <c r="P38" i="32"/>
  <c r="P27" i="32"/>
  <c r="U27" i="32"/>
  <c r="U38" i="32"/>
  <c r="Z27" i="32"/>
  <c r="Z38" i="32"/>
  <c r="AE27" i="32"/>
  <c r="AE38" i="32"/>
  <c r="AC35" i="32"/>
  <c r="AJ27" i="32"/>
  <c r="AJ38" i="32"/>
  <c r="AO27" i="32"/>
  <c r="AO38" i="32"/>
  <c r="AT27" i="32"/>
  <c r="AT38" i="32"/>
  <c r="AR35" i="32"/>
  <c r="AY27" i="32"/>
  <c r="AY38" i="32"/>
  <c r="BA35" i="32"/>
  <c r="AD62" i="28"/>
  <c r="AE62" i="28" s="1"/>
  <c r="AD61" i="28"/>
  <c r="AE61" i="28" s="1"/>
  <c r="AD60" i="28"/>
  <c r="AE60" i="28" s="1"/>
  <c r="AD59" i="28"/>
  <c r="AE59" i="28" s="1"/>
  <c r="AE58" i="28"/>
  <c r="AI62" i="28"/>
  <c r="AJ62" i="28" s="1"/>
  <c r="AI61" i="28"/>
  <c r="AJ61" i="28" s="1"/>
  <c r="AI60" i="28"/>
  <c r="AJ60" i="28" s="1"/>
  <c r="AI59" i="28"/>
  <c r="AJ59" i="28" s="1"/>
  <c r="AJ58" i="28"/>
  <c r="AN62" i="28"/>
  <c r="AO62" i="28" s="1"/>
  <c r="AN61" i="28"/>
  <c r="AO61" i="28" s="1"/>
  <c r="AN60" i="28"/>
  <c r="AO60" i="28" s="1"/>
  <c r="AN59" i="28"/>
  <c r="AO58" i="28"/>
  <c r="BD62" i="28"/>
  <c r="BD61" i="28"/>
  <c r="BD60" i="28"/>
  <c r="BD59" i="28"/>
  <c r="BD58" i="28"/>
  <c r="AX62" i="28"/>
  <c r="AY62" i="28" s="1"/>
  <c r="AX61" i="28"/>
  <c r="AY61" i="28" s="1"/>
  <c r="AX60" i="28"/>
  <c r="AY60" i="28" s="1"/>
  <c r="AX59" i="28"/>
  <c r="AY58" i="28"/>
  <c r="AT58" i="28"/>
  <c r="AS62" i="28"/>
  <c r="AT62" i="28" s="1"/>
  <c r="AS61" i="28"/>
  <c r="AT61" i="28" s="1"/>
  <c r="AS60" i="28"/>
  <c r="AT60" i="28" s="1"/>
  <c r="AS59" i="28"/>
  <c r="AT59" i="28" s="1"/>
  <c r="E34" i="25"/>
  <c r="D34" i="25"/>
  <c r="C34" i="25"/>
  <c r="B34" i="25"/>
  <c r="F30" i="25"/>
  <c r="F25" i="25"/>
  <c r="F24" i="25"/>
  <c r="F23" i="25"/>
  <c r="F22" i="25"/>
  <c r="F20" i="25"/>
  <c r="J34" i="25"/>
  <c r="I34" i="25"/>
  <c r="H34" i="25"/>
  <c r="G34" i="25"/>
  <c r="K30" i="25"/>
  <c r="K25" i="25"/>
  <c r="K24" i="25"/>
  <c r="K23" i="25"/>
  <c r="K22" i="25"/>
  <c r="K20" i="25"/>
  <c r="O34" i="25"/>
  <c r="N34" i="25"/>
  <c r="M34" i="25"/>
  <c r="L34" i="25"/>
  <c r="P30" i="25"/>
  <c r="P25" i="25"/>
  <c r="P24" i="25"/>
  <c r="P23" i="25"/>
  <c r="P22" i="25"/>
  <c r="P20" i="25"/>
  <c r="T34" i="25"/>
  <c r="S34" i="25"/>
  <c r="R34" i="25"/>
  <c r="Q34" i="25"/>
  <c r="U30" i="25"/>
  <c r="U25" i="25"/>
  <c r="U24" i="25"/>
  <c r="U23" i="25"/>
  <c r="U22" i="25"/>
  <c r="U20" i="25"/>
  <c r="Y34" i="25"/>
  <c r="X34" i="25"/>
  <c r="W34" i="25"/>
  <c r="V34" i="25"/>
  <c r="Z30" i="25"/>
  <c r="Z25" i="25"/>
  <c r="Z24" i="25"/>
  <c r="Z23" i="25"/>
  <c r="Z22" i="25"/>
  <c r="Z20" i="25"/>
  <c r="AD34" i="25"/>
  <c r="AC34" i="25"/>
  <c r="AB34" i="25"/>
  <c r="AA34" i="25"/>
  <c r="AE30" i="25"/>
  <c r="AE25" i="25"/>
  <c r="AE24" i="25"/>
  <c r="AE23" i="25"/>
  <c r="AE22" i="25"/>
  <c r="AE20" i="25"/>
  <c r="AJ30" i="25"/>
  <c r="AJ25" i="25"/>
  <c r="AJ24" i="25"/>
  <c r="AJ23" i="25"/>
  <c r="AJ22" i="25"/>
  <c r="AJ20" i="25"/>
  <c r="BC66" i="27" l="1"/>
  <c r="BD66" i="32"/>
  <c r="BD65" i="32" s="1"/>
  <c r="BC67" i="32"/>
  <c r="U35" i="32"/>
  <c r="U49" i="32"/>
  <c r="AE34" i="25"/>
  <c r="U34" i="25"/>
  <c r="K34" i="25"/>
  <c r="Z34" i="25"/>
  <c r="P34" i="25"/>
  <c r="F34" i="25"/>
  <c r="Z35" i="32"/>
  <c r="AO49" i="32"/>
  <c r="P35" i="32"/>
  <c r="AY35" i="32"/>
  <c r="AJ35" i="32"/>
  <c r="AT49" i="32"/>
  <c r="AT35" i="32"/>
  <c r="P49" i="32"/>
  <c r="AY49" i="32"/>
  <c r="AE49" i="32"/>
  <c r="AO35" i="32"/>
  <c r="BD35" i="32"/>
  <c r="BD49" i="32"/>
  <c r="AE35" i="32"/>
  <c r="K54" i="1"/>
  <c r="AO59" i="28"/>
  <c r="AY59" i="28"/>
  <c r="BD67" i="32" l="1"/>
  <c r="BE67" i="32" s="1"/>
  <c r="BC67" i="27"/>
  <c r="BD67" i="27" s="1"/>
  <c r="BD66" i="27"/>
  <c r="BD65" i="27" s="1"/>
  <c r="BC65" i="27"/>
  <c r="BC70" i="28"/>
  <c r="BA70" i="28"/>
  <c r="BF67" i="32" l="1"/>
  <c r="BE67" i="27"/>
  <c r="AZ70" i="28"/>
  <c r="BB70" i="28"/>
  <c r="AO25" i="25"/>
  <c r="AT25" i="25"/>
  <c r="AY25" i="25"/>
  <c r="BD25" i="25"/>
  <c r="AO30" i="25"/>
  <c r="AO24" i="25"/>
  <c r="AO23" i="25"/>
  <c r="AO22" i="25"/>
  <c r="AO20" i="25"/>
  <c r="AT30" i="25"/>
  <c r="AT24" i="25"/>
  <c r="AT23" i="25"/>
  <c r="AT22" i="25"/>
  <c r="AT20" i="25"/>
  <c r="AN34" i="25"/>
  <c r="AM34" i="25"/>
  <c r="AL34" i="25"/>
  <c r="AK34" i="25"/>
  <c r="AO34" i="25" l="1"/>
  <c r="AT34" i="25"/>
  <c r="BG67" i="32"/>
  <c r="BG67" i="27" s="1"/>
  <c r="BF67" i="27"/>
  <c r="AY30" i="25"/>
  <c r="AY23" i="25"/>
  <c r="AY24" i="25"/>
  <c r="BD30" i="25" l="1"/>
  <c r="BD24" i="25"/>
  <c r="BD23" i="25"/>
  <c r="BD22" i="25"/>
  <c r="BD20" i="25"/>
  <c r="BD11" i="25"/>
  <c r="BD9" i="25"/>
  <c r="BD8" i="25"/>
  <c r="BD7" i="25"/>
  <c r="BD6" i="25"/>
  <c r="BC10" i="25"/>
  <c r="BC12" i="25" s="1"/>
  <c r="BD34" i="25" l="1"/>
  <c r="BD5" i="1"/>
  <c r="BD14" i="29" l="1"/>
  <c r="BD52" i="28"/>
  <c r="BD49" i="28"/>
  <c r="BD46" i="28"/>
  <c r="BD45" i="28"/>
  <c r="BD44" i="28"/>
  <c r="BD41" i="28"/>
  <c r="BD38" i="28"/>
  <c r="BD37" i="28"/>
  <c r="BC35" i="28"/>
  <c r="BD35" i="28" s="1"/>
  <c r="BD34" i="28"/>
  <c r="BD29" i="28"/>
  <c r="BD28" i="28"/>
  <c r="BD27" i="28"/>
  <c r="BD22" i="28"/>
  <c r="BD21" i="28"/>
  <c r="BD20" i="28"/>
  <c r="BD19" i="28"/>
  <c r="BD18" i="28"/>
  <c r="BD15" i="28"/>
  <c r="BD14" i="28"/>
  <c r="BD10" i="28"/>
  <c r="BD9" i="28"/>
  <c r="BD8" i="28"/>
  <c r="BD61" i="27"/>
  <c r="BD60" i="27"/>
  <c r="BD51" i="27"/>
  <c r="BC49" i="27"/>
  <c r="BD49" i="27" s="1"/>
  <c r="BD48" i="27"/>
  <c r="BD47" i="27"/>
  <c r="BD46" i="27"/>
  <c r="BD44" i="27"/>
  <c r="BD43" i="27"/>
  <c r="BD42" i="27"/>
  <c r="BD41" i="27"/>
  <c r="BD40" i="27"/>
  <c r="BD39" i="27"/>
  <c r="BD38" i="27"/>
  <c r="BC35" i="27"/>
  <c r="BD35" i="27" s="1"/>
  <c r="BD34" i="27"/>
  <c r="BD32" i="27"/>
  <c r="BD31" i="27"/>
  <c r="BD30" i="27"/>
  <c r="BD29" i="27"/>
  <c r="BD28" i="27"/>
  <c r="BD27" i="27"/>
  <c r="BD23" i="27"/>
  <c r="BD22" i="27"/>
  <c r="BD21" i="27"/>
  <c r="BD20" i="27"/>
  <c r="BD19" i="27"/>
  <c r="BD18" i="27"/>
  <c r="BD16" i="27"/>
  <c r="BD15" i="27"/>
  <c r="BD13" i="27"/>
  <c r="BD11" i="27"/>
  <c r="BD8" i="27"/>
  <c r="BC48" i="1"/>
  <c r="BC47" i="1"/>
  <c r="BC46" i="1"/>
  <c r="BD31" i="1"/>
  <c r="BC25" i="1"/>
  <c r="BD24" i="1"/>
  <c r="BD23" i="1"/>
  <c r="BC18" i="1"/>
  <c r="BD12" i="1"/>
  <c r="BD48" i="1" s="1"/>
  <c r="BD11" i="1"/>
  <c r="BD47" i="1" s="1"/>
  <c r="BD10" i="1"/>
  <c r="BD46" i="1" s="1"/>
  <c r="BC7" i="1"/>
  <c r="BD6" i="1"/>
  <c r="BC44" i="1" l="1"/>
  <c r="BC78" i="29"/>
  <c r="BC39" i="28"/>
  <c r="BD6" i="27"/>
  <c r="BC20" i="1"/>
  <c r="AJ48" i="28"/>
  <c r="N35" i="28"/>
  <c r="N39" i="28" s="1"/>
  <c r="M35" i="28"/>
  <c r="M39" i="28" s="1"/>
  <c r="R35" i="28"/>
  <c r="R39" i="28" s="1"/>
  <c r="S35" i="28"/>
  <c r="S39" i="28" s="1"/>
  <c r="V35" i="28"/>
  <c r="V39" i="28" s="1"/>
  <c r="W35" i="28"/>
  <c r="W39" i="28" s="1"/>
  <c r="X35" i="28"/>
  <c r="X39" i="28" s="1"/>
  <c r="O35" i="28"/>
  <c r="P35" i="28" s="1"/>
  <c r="P52" i="28"/>
  <c r="P49" i="28"/>
  <c r="P46" i="28"/>
  <c r="P45" i="28"/>
  <c r="P44" i="28"/>
  <c r="P41" i="28"/>
  <c r="P38" i="28"/>
  <c r="P37" i="28"/>
  <c r="P34" i="28"/>
  <c r="P33" i="28"/>
  <c r="P29" i="28"/>
  <c r="P28" i="28"/>
  <c r="P27" i="28"/>
  <c r="P22" i="28"/>
  <c r="P21" i="28"/>
  <c r="P20" i="28"/>
  <c r="P19" i="28"/>
  <c r="P18" i="28"/>
  <c r="P15" i="28"/>
  <c r="P14" i="28"/>
  <c r="P10" i="28"/>
  <c r="P9" i="28"/>
  <c r="P8" i="28"/>
  <c r="Q35" i="28"/>
  <c r="Q39" i="28" s="1"/>
  <c r="L49" i="27"/>
  <c r="L35" i="27"/>
  <c r="M49" i="27"/>
  <c r="M35" i="27"/>
  <c r="N49" i="27"/>
  <c r="N35" i="27"/>
  <c r="Q49" i="27"/>
  <c r="Q35" i="27"/>
  <c r="R49" i="27"/>
  <c r="R35" i="27"/>
  <c r="S49" i="27"/>
  <c r="S35" i="27"/>
  <c r="P61" i="27"/>
  <c r="P60" i="27"/>
  <c r="L7" i="1"/>
  <c r="L18" i="1"/>
  <c r="L25" i="1"/>
  <c r="M7" i="1"/>
  <c r="M44" i="1" s="1"/>
  <c r="M18" i="1"/>
  <c r="M25" i="1"/>
  <c r="N7" i="1"/>
  <c r="N44" i="1" s="1"/>
  <c r="N18" i="1"/>
  <c r="N25" i="1"/>
  <c r="O7" i="1"/>
  <c r="O44" i="1" s="1"/>
  <c r="O18" i="1"/>
  <c r="O25" i="1"/>
  <c r="O35" i="27"/>
  <c r="P35" i="27" s="1"/>
  <c r="O49" i="27"/>
  <c r="P49" i="27" s="1"/>
  <c r="P51" i="27"/>
  <c r="P48" i="27"/>
  <c r="P47" i="27"/>
  <c r="P46" i="27"/>
  <c r="P44" i="27"/>
  <c r="P43" i="27"/>
  <c r="P42" i="27"/>
  <c r="P41" i="27"/>
  <c r="P40" i="27"/>
  <c r="P39" i="27"/>
  <c r="P38" i="27"/>
  <c r="P34" i="27"/>
  <c r="P32" i="27"/>
  <c r="P31" i="27"/>
  <c r="P30" i="27"/>
  <c r="P29" i="27"/>
  <c r="P28" i="27"/>
  <c r="P27" i="27"/>
  <c r="P23" i="27"/>
  <c r="P22" i="27"/>
  <c r="P21" i="27"/>
  <c r="P20" i="27"/>
  <c r="P19" i="27"/>
  <c r="P18" i="27"/>
  <c r="P16" i="27"/>
  <c r="P15" i="27"/>
  <c r="P13" i="27"/>
  <c r="L12" i="27"/>
  <c r="L12" i="32" s="1"/>
  <c r="P11" i="27"/>
  <c r="P8" i="27"/>
  <c r="Q12" i="27"/>
  <c r="Q12" i="32" s="1"/>
  <c r="M10" i="25"/>
  <c r="M12" i="25" s="1"/>
  <c r="R10" i="25"/>
  <c r="R12" i="25" s="1"/>
  <c r="U61" i="27"/>
  <c r="U60" i="27"/>
  <c r="T35" i="27"/>
  <c r="U35" i="27" s="1"/>
  <c r="T49" i="27"/>
  <c r="U49" i="27" s="1"/>
  <c r="U51" i="27"/>
  <c r="U48" i="27"/>
  <c r="U47" i="27"/>
  <c r="U46" i="27"/>
  <c r="U44" i="27"/>
  <c r="U43" i="27"/>
  <c r="U42" i="27"/>
  <c r="U41" i="27"/>
  <c r="U40" i="27"/>
  <c r="U39" i="27"/>
  <c r="U38" i="27"/>
  <c r="U34" i="27"/>
  <c r="U32" i="27"/>
  <c r="U31" i="27"/>
  <c r="U30" i="27"/>
  <c r="U29" i="27"/>
  <c r="U28" i="27"/>
  <c r="U27" i="27"/>
  <c r="U23" i="27"/>
  <c r="U22" i="27"/>
  <c r="U21" i="27"/>
  <c r="U20" i="27"/>
  <c r="U19" i="27"/>
  <c r="U18" i="27"/>
  <c r="U16" i="27"/>
  <c r="U15" i="27"/>
  <c r="U13" i="27"/>
  <c r="U11" i="27"/>
  <c r="U8" i="27"/>
  <c r="B44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D45" i="1"/>
  <c r="E44" i="1"/>
  <c r="D44" i="1"/>
  <c r="J48" i="1"/>
  <c r="I48" i="1"/>
  <c r="H48" i="1"/>
  <c r="G48" i="1"/>
  <c r="K47" i="1"/>
  <c r="J47" i="1"/>
  <c r="I47" i="1"/>
  <c r="H47" i="1"/>
  <c r="G47" i="1"/>
  <c r="J46" i="1"/>
  <c r="I46" i="1"/>
  <c r="H46" i="1"/>
  <c r="G46" i="1"/>
  <c r="J44" i="1"/>
  <c r="I44" i="1"/>
  <c r="T7" i="1"/>
  <c r="T78" i="29" s="1"/>
  <c r="T18" i="1"/>
  <c r="T25" i="1"/>
  <c r="S7" i="1"/>
  <c r="S18" i="1"/>
  <c r="S25" i="1"/>
  <c r="R7" i="1"/>
  <c r="R78" i="29" s="1"/>
  <c r="R18" i="1"/>
  <c r="R25" i="1"/>
  <c r="Q7" i="1"/>
  <c r="Q78" i="29" s="1"/>
  <c r="Q18" i="1"/>
  <c r="Q25" i="1"/>
  <c r="T35" i="28"/>
  <c r="U35" i="28" s="1"/>
  <c r="U52" i="28"/>
  <c r="U49" i="28"/>
  <c r="U46" i="28"/>
  <c r="U45" i="28"/>
  <c r="U44" i="28"/>
  <c r="U41" i="28"/>
  <c r="U38" i="28"/>
  <c r="U37" i="28"/>
  <c r="U34" i="28"/>
  <c r="U33" i="28"/>
  <c r="U29" i="28"/>
  <c r="U28" i="28"/>
  <c r="U27" i="28"/>
  <c r="U22" i="28"/>
  <c r="U21" i="28"/>
  <c r="U20" i="28"/>
  <c r="U19" i="28"/>
  <c r="U18" i="28"/>
  <c r="U15" i="28"/>
  <c r="U14" i="28"/>
  <c r="U9" i="28"/>
  <c r="U8" i="28"/>
  <c r="V49" i="27"/>
  <c r="V35" i="27"/>
  <c r="AA35" i="28"/>
  <c r="AA39" i="28" s="1"/>
  <c r="W49" i="27"/>
  <c r="W35" i="27"/>
  <c r="AB35" i="28"/>
  <c r="AB39" i="28" s="1"/>
  <c r="X49" i="27"/>
  <c r="X35" i="27"/>
  <c r="AC50" i="28"/>
  <c r="AC53" i="28" s="1"/>
  <c r="AC63" i="28" s="1"/>
  <c r="AC64" i="28" s="1"/>
  <c r="AC35" i="28"/>
  <c r="AC39" i="28" s="1"/>
  <c r="Y35" i="28"/>
  <c r="Z35" i="28" s="1"/>
  <c r="Z52" i="28"/>
  <c r="Z49" i="28"/>
  <c r="Z46" i="28"/>
  <c r="Z45" i="28"/>
  <c r="Z44" i="28"/>
  <c r="Z41" i="28"/>
  <c r="Z38" i="28"/>
  <c r="Z37" i="28"/>
  <c r="Z34" i="28"/>
  <c r="Z33" i="28"/>
  <c r="Z29" i="28"/>
  <c r="Z28" i="28"/>
  <c r="Z27" i="28"/>
  <c r="Z22" i="28"/>
  <c r="Z21" i="28"/>
  <c r="Z20" i="28"/>
  <c r="Z19" i="28"/>
  <c r="Z18" i="28"/>
  <c r="Z15" i="28"/>
  <c r="Z14" i="28"/>
  <c r="Z10" i="28"/>
  <c r="Z9" i="28"/>
  <c r="Z8" i="28"/>
  <c r="BB49" i="27"/>
  <c r="BA49" i="27"/>
  <c r="AZ49" i="27"/>
  <c r="AX49" i="27"/>
  <c r="AY49" i="27" s="1"/>
  <c r="AW49" i="27"/>
  <c r="AV49" i="27"/>
  <c r="AU49" i="27"/>
  <c r="AS49" i="27"/>
  <c r="AT49" i="27" s="1"/>
  <c r="AR49" i="27"/>
  <c r="AQ49" i="27"/>
  <c r="AP49" i="27"/>
  <c r="AN49" i="27"/>
  <c r="AO49" i="27" s="1"/>
  <c r="AM49" i="27"/>
  <c r="AL49" i="27"/>
  <c r="AK49" i="27"/>
  <c r="AF49" i="27"/>
  <c r="AY48" i="27"/>
  <c r="AT48" i="27"/>
  <c r="AO48" i="27"/>
  <c r="AJ48" i="27"/>
  <c r="AD49" i="27"/>
  <c r="AE49" i="27" s="1"/>
  <c r="AE48" i="27"/>
  <c r="AC49" i="27"/>
  <c r="AB49" i="27"/>
  <c r="AA49" i="27"/>
  <c r="Z48" i="27"/>
  <c r="Y40" i="27"/>
  <c r="Y40" i="32" s="1"/>
  <c r="V12" i="27"/>
  <c r="V12" i="32" s="1"/>
  <c r="W10" i="25"/>
  <c r="W12" i="27" s="1"/>
  <c r="Z10" i="25"/>
  <c r="Z12" i="25" s="1"/>
  <c r="V7" i="1"/>
  <c r="V78" i="29" s="1"/>
  <c r="V18" i="1"/>
  <c r="V25" i="1"/>
  <c r="W7" i="1"/>
  <c r="W78" i="29" s="1"/>
  <c r="W18" i="1"/>
  <c r="W25" i="1"/>
  <c r="X7" i="1"/>
  <c r="X18" i="1"/>
  <c r="X25" i="1"/>
  <c r="Y7" i="1"/>
  <c r="Y78" i="29" s="1"/>
  <c r="Y18" i="1"/>
  <c r="Y25" i="1"/>
  <c r="Z31" i="1"/>
  <c r="Z24" i="1"/>
  <c r="Z23" i="1"/>
  <c r="Z17" i="1"/>
  <c r="Z12" i="1"/>
  <c r="Z11" i="1"/>
  <c r="Z10" i="1"/>
  <c r="Z6" i="1"/>
  <c r="Z5" i="1"/>
  <c r="V46" i="1"/>
  <c r="W46" i="1"/>
  <c r="X46" i="1"/>
  <c r="Y46" i="1"/>
  <c r="V47" i="1"/>
  <c r="W47" i="1"/>
  <c r="X47" i="1"/>
  <c r="Y47" i="1"/>
  <c r="V48" i="1"/>
  <c r="W48" i="1"/>
  <c r="X48" i="1"/>
  <c r="Y48" i="1"/>
  <c r="AA35" i="27"/>
  <c r="AF50" i="28"/>
  <c r="AF53" i="28" s="1"/>
  <c r="AF63" i="28" s="1"/>
  <c r="AF64" i="28" s="1"/>
  <c r="AF35" i="28"/>
  <c r="AF39" i="28" s="1"/>
  <c r="AB35" i="27"/>
  <c r="AG35" i="28"/>
  <c r="AG39" i="28" s="1"/>
  <c r="AC35" i="27"/>
  <c r="Z61" i="27"/>
  <c r="Z60" i="27"/>
  <c r="Y10" i="25"/>
  <c r="Y12" i="25" s="1"/>
  <c r="Y35" i="27"/>
  <c r="Z35" i="27" s="1"/>
  <c r="Z51" i="27"/>
  <c r="Z47" i="27"/>
  <c r="Z46" i="27"/>
  <c r="Z44" i="27"/>
  <c r="Z43" i="27"/>
  <c r="Z42" i="27"/>
  <c r="Z41" i="27"/>
  <c r="Z39" i="27"/>
  <c r="Z38" i="27"/>
  <c r="Z34" i="27"/>
  <c r="Z32" i="27"/>
  <c r="Z31" i="27"/>
  <c r="Z30" i="27"/>
  <c r="Z29" i="27"/>
  <c r="Z28" i="27"/>
  <c r="Z27" i="27"/>
  <c r="Z23" i="27"/>
  <c r="Z22" i="27"/>
  <c r="Z21" i="27"/>
  <c r="Z20" i="27"/>
  <c r="Z19" i="27"/>
  <c r="Z18" i="27"/>
  <c r="Z16" i="27"/>
  <c r="Z15" i="27"/>
  <c r="Z13" i="27"/>
  <c r="Z11" i="27"/>
  <c r="Z8" i="27"/>
  <c r="AY39" i="27"/>
  <c r="AT39" i="27"/>
  <c r="AO39" i="27"/>
  <c r="AE39" i="27"/>
  <c r="AJ39" i="27"/>
  <c r="AE61" i="27"/>
  <c r="AE60" i="27"/>
  <c r="AD35" i="27"/>
  <c r="AE35" i="27" s="1"/>
  <c r="AE51" i="27"/>
  <c r="AE47" i="27"/>
  <c r="AE46" i="27"/>
  <c r="AE44" i="27"/>
  <c r="AE43" i="27"/>
  <c r="AE42" i="27"/>
  <c r="AE41" i="27"/>
  <c r="AE40" i="27"/>
  <c r="AE38" i="27"/>
  <c r="AE34" i="27"/>
  <c r="AE32" i="27"/>
  <c r="AE31" i="27"/>
  <c r="AE30" i="27"/>
  <c r="AE29" i="27"/>
  <c r="AE28" i="27"/>
  <c r="AE27" i="27"/>
  <c r="AE23" i="27"/>
  <c r="AE22" i="27"/>
  <c r="AE21" i="27"/>
  <c r="AE20" i="27"/>
  <c r="AE19" i="27"/>
  <c r="AE18" i="27"/>
  <c r="AE16" i="27"/>
  <c r="AE15" i="27"/>
  <c r="AE13" i="27"/>
  <c r="AE11" i="27"/>
  <c r="AE8" i="27"/>
  <c r="AJ61" i="27"/>
  <c r="AJ60" i="27"/>
  <c r="AI7" i="1"/>
  <c r="AI78" i="29" s="1"/>
  <c r="AI18" i="1"/>
  <c r="AI25" i="1"/>
  <c r="AH7" i="1"/>
  <c r="AH18" i="1"/>
  <c r="AH25" i="1"/>
  <c r="AG7" i="1"/>
  <c r="AG18" i="1"/>
  <c r="AG25" i="1"/>
  <c r="AF7" i="1"/>
  <c r="AF78" i="29" s="1"/>
  <c r="AF18" i="1"/>
  <c r="AF25" i="1"/>
  <c r="AJ51" i="27"/>
  <c r="AJ47" i="27"/>
  <c r="AJ46" i="27"/>
  <c r="AJ44" i="27"/>
  <c r="AJ43" i="27"/>
  <c r="AJ42" i="27"/>
  <c r="AJ41" i="27"/>
  <c r="AJ38" i="27"/>
  <c r="AJ34" i="27"/>
  <c r="AJ32" i="27"/>
  <c r="AJ31" i="27"/>
  <c r="AJ30" i="27"/>
  <c r="AJ29" i="27"/>
  <c r="AJ28" i="27"/>
  <c r="AJ27" i="27"/>
  <c r="AJ23" i="27"/>
  <c r="AJ22" i="27"/>
  <c r="AJ21" i="27"/>
  <c r="AJ20" i="27"/>
  <c r="AJ19" i="27"/>
  <c r="AJ18" i="27"/>
  <c r="AJ16" i="27"/>
  <c r="AJ15" i="27"/>
  <c r="AJ13" i="27"/>
  <c r="AJ11" i="27"/>
  <c r="AJ8" i="27"/>
  <c r="AY21" i="27"/>
  <c r="AY22" i="27"/>
  <c r="AY23" i="27"/>
  <c r="AY11" i="27"/>
  <c r="AY13" i="27"/>
  <c r="AY15" i="27"/>
  <c r="AY16" i="27"/>
  <c r="AT11" i="27"/>
  <c r="AP10" i="25"/>
  <c r="AP12" i="27" s="1"/>
  <c r="AP12" i="32" s="1"/>
  <c r="AQ10" i="25"/>
  <c r="AR10" i="25"/>
  <c r="AR12" i="25" s="1"/>
  <c r="AS10" i="25"/>
  <c r="AS12" i="25" s="1"/>
  <c r="AT13" i="27"/>
  <c r="AT15" i="27"/>
  <c r="AT16" i="27"/>
  <c r="AO11" i="27"/>
  <c r="AO12" i="27"/>
  <c r="AO13" i="27"/>
  <c r="AO15" i="27"/>
  <c r="AO16" i="27"/>
  <c r="AO23" i="27"/>
  <c r="AO22" i="27"/>
  <c r="AO21" i="27"/>
  <c r="AO20" i="27"/>
  <c r="AK10" i="25"/>
  <c r="AL10" i="25"/>
  <c r="AL12" i="25" s="1"/>
  <c r="AT23" i="27"/>
  <c r="AT22" i="27"/>
  <c r="AT21" i="27"/>
  <c r="AT20" i="27"/>
  <c r="AQ7" i="1"/>
  <c r="AQ78" i="29" s="1"/>
  <c r="AQ18" i="1"/>
  <c r="AQ25" i="1"/>
  <c r="AP7" i="1"/>
  <c r="AP18" i="1"/>
  <c r="AP25" i="1"/>
  <c r="AY20" i="27"/>
  <c r="AW10" i="25"/>
  <c r="AW12" i="25" s="1"/>
  <c r="AT43" i="27"/>
  <c r="AT46" i="27"/>
  <c r="AY43" i="27"/>
  <c r="AY46" i="27"/>
  <c r="AY47" i="27"/>
  <c r="AT47" i="27"/>
  <c r="AO47" i="27"/>
  <c r="AO46" i="27"/>
  <c r="AI40" i="27"/>
  <c r="AI35" i="27"/>
  <c r="AJ35" i="27" s="1"/>
  <c r="AW50" i="28"/>
  <c r="AW53" i="28" s="1"/>
  <c r="AW63" i="28" s="1"/>
  <c r="AW64" i="28" s="1"/>
  <c r="AS35" i="28"/>
  <c r="AS39" i="28" s="1"/>
  <c r="AT39" i="28" s="1"/>
  <c r="AR35" i="28"/>
  <c r="AR39" i="28" s="1"/>
  <c r="AQ35" i="28"/>
  <c r="AQ39" i="28" s="1"/>
  <c r="AP35" i="28"/>
  <c r="AP39" i="28" s="1"/>
  <c r="AN35" i="28"/>
  <c r="AN39" i="28" s="1"/>
  <c r="AO39" i="28" s="1"/>
  <c r="AM35" i="28"/>
  <c r="AM39" i="28" s="1"/>
  <c r="AL35" i="28"/>
  <c r="AL39" i="28" s="1"/>
  <c r="AK35" i="28"/>
  <c r="AK39" i="28" s="1"/>
  <c r="AY41" i="28"/>
  <c r="AT41" i="28"/>
  <c r="AO41" i="28"/>
  <c r="AJ41" i="28"/>
  <c r="AI35" i="28"/>
  <c r="AI39" i="28" s="1"/>
  <c r="AI50" i="28"/>
  <c r="AI53" i="28" s="1"/>
  <c r="AH35" i="28"/>
  <c r="AH39" i="28" s="1"/>
  <c r="AD35" i="28"/>
  <c r="AE35" i="28" s="1"/>
  <c r="AD50" i="28"/>
  <c r="AD53" i="28" s="1"/>
  <c r="AE41" i="28"/>
  <c r="AE52" i="28"/>
  <c r="AE49" i="28"/>
  <c r="AE48" i="28"/>
  <c r="AE46" i="28"/>
  <c r="AE45" i="28"/>
  <c r="AE44" i="28"/>
  <c r="AE38" i="28"/>
  <c r="AE37" i="28"/>
  <c r="AE34" i="28"/>
  <c r="AE29" i="28"/>
  <c r="AE28" i="28"/>
  <c r="AE27" i="28"/>
  <c r="AE22" i="28"/>
  <c r="AE21" i="28"/>
  <c r="AE20" i="28"/>
  <c r="AE19" i="28"/>
  <c r="AE18" i="28"/>
  <c r="AE15" i="28"/>
  <c r="AE14" i="28"/>
  <c r="AE10" i="28"/>
  <c r="AE9" i="28"/>
  <c r="AE8" i="28"/>
  <c r="AH40" i="27"/>
  <c r="AH49" i="27" s="1"/>
  <c r="AH35" i="27"/>
  <c r="AD10" i="25"/>
  <c r="AD12" i="25" s="1"/>
  <c r="AC10" i="25"/>
  <c r="AC12" i="25" s="1"/>
  <c r="AB10" i="25"/>
  <c r="AB12" i="25" s="1"/>
  <c r="AA10" i="25"/>
  <c r="Q12" i="25"/>
  <c r="L12" i="25"/>
  <c r="J12" i="25"/>
  <c r="I12" i="25"/>
  <c r="H12" i="25"/>
  <c r="G12" i="25"/>
  <c r="E12" i="25"/>
  <c r="D12" i="25"/>
  <c r="C12" i="25"/>
  <c r="AG40" i="27"/>
  <c r="AG40" i="32" s="1"/>
  <c r="AK7" i="1"/>
  <c r="AK78" i="29" s="1"/>
  <c r="AK18" i="1"/>
  <c r="AK25" i="1"/>
  <c r="AL7" i="1"/>
  <c r="AL78" i="29" s="1"/>
  <c r="AL18" i="1"/>
  <c r="AL25" i="1"/>
  <c r="AL35" i="27"/>
  <c r="AK35" i="27"/>
  <c r="AJ18" i="28"/>
  <c r="AJ14" i="28"/>
  <c r="AJ15" i="28"/>
  <c r="AM7" i="1"/>
  <c r="AM18" i="1"/>
  <c r="AM25" i="1"/>
  <c r="AM35" i="27"/>
  <c r="AF35" i="27"/>
  <c r="AG35" i="27"/>
  <c r="AN7" i="1"/>
  <c r="AN18" i="1"/>
  <c r="AN25" i="1"/>
  <c r="AN35" i="27"/>
  <c r="AO35" i="27" s="1"/>
  <c r="AJ52" i="28"/>
  <c r="AJ49" i="28"/>
  <c r="AJ46" i="28"/>
  <c r="AJ45" i="28"/>
  <c r="AJ44" i="28"/>
  <c r="AJ38" i="28"/>
  <c r="AJ37" i="28"/>
  <c r="AJ34" i="28"/>
  <c r="AJ29" i="28"/>
  <c r="AJ28" i="28"/>
  <c r="AJ27" i="28"/>
  <c r="AJ22" i="28"/>
  <c r="AJ21" i="28"/>
  <c r="AJ20" i="28"/>
  <c r="AJ19" i="28"/>
  <c r="AJ9" i="28"/>
  <c r="AJ8" i="28"/>
  <c r="AF34" i="25"/>
  <c r="AG34" i="25"/>
  <c r="AH34" i="25"/>
  <c r="AI34" i="25"/>
  <c r="AF10" i="25"/>
  <c r="AF12" i="27" s="1"/>
  <c r="AF12" i="32" s="1"/>
  <c r="AG10" i="25"/>
  <c r="AG12" i="25" s="1"/>
  <c r="AH10" i="25"/>
  <c r="AH12" i="25" s="1"/>
  <c r="AI10" i="25"/>
  <c r="AI12" i="25" s="1"/>
  <c r="AJ11" i="25"/>
  <c r="AJ9" i="25"/>
  <c r="AJ8" i="25"/>
  <c r="AJ7" i="25"/>
  <c r="AJ6" i="25"/>
  <c r="P31" i="1"/>
  <c r="P24" i="1"/>
  <c r="P23" i="1"/>
  <c r="P17" i="1"/>
  <c r="P12" i="1"/>
  <c r="P11" i="1"/>
  <c r="P10" i="1"/>
  <c r="P6" i="1"/>
  <c r="P5" i="1"/>
  <c r="U31" i="1"/>
  <c r="U24" i="1"/>
  <c r="U23" i="1"/>
  <c r="U17" i="1"/>
  <c r="U12" i="1"/>
  <c r="U11" i="1"/>
  <c r="U10" i="1"/>
  <c r="U6" i="1"/>
  <c r="U5" i="1"/>
  <c r="AD7" i="1"/>
  <c r="AD78" i="29" s="1"/>
  <c r="AD18" i="1"/>
  <c r="AD25" i="1"/>
  <c r="AC7" i="1"/>
  <c r="AC18" i="1"/>
  <c r="AC25" i="1"/>
  <c r="AB7" i="1"/>
  <c r="AB18" i="1"/>
  <c r="AB25" i="1"/>
  <c r="AA7" i="1"/>
  <c r="AA18" i="1"/>
  <c r="AA25" i="1"/>
  <c r="AE31" i="1"/>
  <c r="AE24" i="1"/>
  <c r="AE23" i="1"/>
  <c r="AE17" i="1"/>
  <c r="AE12" i="1"/>
  <c r="AE11" i="1"/>
  <c r="AE10" i="1"/>
  <c r="AE6" i="1"/>
  <c r="AE5" i="1"/>
  <c r="AJ31" i="1"/>
  <c r="AJ24" i="1"/>
  <c r="AJ23" i="1"/>
  <c r="AJ17" i="1"/>
  <c r="AJ12" i="1"/>
  <c r="AJ11" i="1"/>
  <c r="AJ10" i="1"/>
  <c r="AJ6" i="1"/>
  <c r="AJ5" i="1"/>
  <c r="AO31" i="1"/>
  <c r="AO24" i="1"/>
  <c r="AO23" i="1"/>
  <c r="AO17" i="1"/>
  <c r="AO12" i="1"/>
  <c r="AO11" i="1"/>
  <c r="AO10" i="1"/>
  <c r="AO6" i="1"/>
  <c r="AO5" i="1"/>
  <c r="AR7" i="1"/>
  <c r="AR18" i="1"/>
  <c r="AR25" i="1"/>
  <c r="AS7" i="1"/>
  <c r="AS18" i="1"/>
  <c r="AS25" i="1"/>
  <c r="AT31" i="1"/>
  <c r="AT24" i="1"/>
  <c r="AT23" i="1"/>
  <c r="AT17" i="1"/>
  <c r="AT12" i="1"/>
  <c r="AT11" i="1"/>
  <c r="AT10" i="1"/>
  <c r="AT6" i="1"/>
  <c r="AT5" i="1"/>
  <c r="AU7" i="1"/>
  <c r="AU78" i="29" s="1"/>
  <c r="AU18" i="1"/>
  <c r="AU25" i="1"/>
  <c r="AV7" i="1"/>
  <c r="AV18" i="1"/>
  <c r="AV25" i="1"/>
  <c r="AW7" i="1"/>
  <c r="AW18" i="1"/>
  <c r="AW25" i="1"/>
  <c r="AX7" i="1"/>
  <c r="AX18" i="1"/>
  <c r="AX25" i="1"/>
  <c r="AY31" i="1"/>
  <c r="AY24" i="1"/>
  <c r="AY23" i="1"/>
  <c r="AY17" i="1"/>
  <c r="AY12" i="1"/>
  <c r="AY11" i="1"/>
  <c r="AY10" i="1"/>
  <c r="AP35" i="27"/>
  <c r="AK12" i="25"/>
  <c r="AQ35" i="27"/>
  <c r="BA7" i="1"/>
  <c r="BA18" i="1"/>
  <c r="BA25" i="1"/>
  <c r="AZ7" i="1"/>
  <c r="AZ18" i="1"/>
  <c r="AZ25" i="1"/>
  <c r="BB7" i="1"/>
  <c r="BB18" i="1"/>
  <c r="BB25" i="1"/>
  <c r="BB35" i="27"/>
  <c r="BA35" i="27"/>
  <c r="AZ35" i="27"/>
  <c r="AX35" i="27"/>
  <c r="AY35" i="27" s="1"/>
  <c r="AW35" i="27"/>
  <c r="AV35" i="27"/>
  <c r="AU35" i="27"/>
  <c r="AS35" i="27"/>
  <c r="AT35" i="27" s="1"/>
  <c r="AR35" i="27"/>
  <c r="AM10" i="25"/>
  <c r="AM12" i="25" s="1"/>
  <c r="AO61" i="27"/>
  <c r="AO60" i="27"/>
  <c r="AO51" i="27"/>
  <c r="AO44" i="27"/>
  <c r="AO43" i="27"/>
  <c r="AO40" i="27"/>
  <c r="AO42" i="27"/>
  <c r="AO41" i="27"/>
  <c r="AO38" i="27"/>
  <c r="AO34" i="27"/>
  <c r="AO32" i="27"/>
  <c r="AO31" i="27"/>
  <c r="AO30" i="27"/>
  <c r="AO29" i="27"/>
  <c r="AO28" i="27"/>
  <c r="AO27" i="27"/>
  <c r="AO19" i="27"/>
  <c r="AO18" i="27"/>
  <c r="AO8" i="27"/>
  <c r="AO52" i="28"/>
  <c r="AO49" i="28"/>
  <c r="AO46" i="28"/>
  <c r="AO45" i="28"/>
  <c r="AO44" i="28"/>
  <c r="AO38" i="28"/>
  <c r="AO37" i="28"/>
  <c r="AO34" i="28"/>
  <c r="AO29" i="28"/>
  <c r="AO28" i="28"/>
  <c r="AO27" i="28"/>
  <c r="AO22" i="28"/>
  <c r="AO21" i="28"/>
  <c r="AO20" i="28"/>
  <c r="AO19" i="28"/>
  <c r="AO8" i="28"/>
  <c r="AY28" i="27"/>
  <c r="AT28" i="27"/>
  <c r="AT61" i="27"/>
  <c r="AT60" i="27"/>
  <c r="AT51" i="27"/>
  <c r="AT44" i="27"/>
  <c r="AT40" i="27"/>
  <c r="AT42" i="27"/>
  <c r="AT41" i="27"/>
  <c r="AT38" i="27"/>
  <c r="AT34" i="27"/>
  <c r="AT32" i="27"/>
  <c r="AT31" i="27"/>
  <c r="AT30" i="27"/>
  <c r="AT29" i="27"/>
  <c r="AT27" i="27"/>
  <c r="AT19" i="27"/>
  <c r="AT18" i="27"/>
  <c r="AT8" i="27"/>
  <c r="AY61" i="27"/>
  <c r="AY60" i="27"/>
  <c r="AY51" i="27"/>
  <c r="AY44" i="27"/>
  <c r="AY40" i="27"/>
  <c r="AY42" i="27"/>
  <c r="AY41" i="27"/>
  <c r="AY38" i="27"/>
  <c r="AY34" i="27"/>
  <c r="AY32" i="27"/>
  <c r="AY31" i="27"/>
  <c r="AY30" i="27"/>
  <c r="AY29" i="27"/>
  <c r="AY27" i="27"/>
  <c r="AY19" i="27"/>
  <c r="AY18" i="27"/>
  <c r="AY8" i="27"/>
  <c r="AY27" i="28"/>
  <c r="AT27" i="28"/>
  <c r="BB35" i="28"/>
  <c r="BB39" i="28" s="1"/>
  <c r="BA35" i="28"/>
  <c r="BA39" i="28" s="1"/>
  <c r="AZ35" i="28"/>
  <c r="AZ39" i="28" s="1"/>
  <c r="AX35" i="28"/>
  <c r="AY35" i="28" s="1"/>
  <c r="AW35" i="28"/>
  <c r="AW39" i="28" s="1"/>
  <c r="AV35" i="28"/>
  <c r="AV39" i="28" s="1"/>
  <c r="AU35" i="28"/>
  <c r="AU39" i="28" s="1"/>
  <c r="AX10" i="25"/>
  <c r="AX12" i="25" s="1"/>
  <c r="BB46" i="1"/>
  <c r="BB47" i="1"/>
  <c r="BB48" i="1"/>
  <c r="AY18" i="28"/>
  <c r="AY9" i="28"/>
  <c r="AY10" i="28"/>
  <c r="AY14" i="28"/>
  <c r="AY15" i="28"/>
  <c r="AY8" i="28"/>
  <c r="AT52" i="28"/>
  <c r="AY52" i="28"/>
  <c r="F11" i="25"/>
  <c r="F9" i="25"/>
  <c r="F8" i="25"/>
  <c r="F7" i="25"/>
  <c r="F6" i="25"/>
  <c r="K11" i="25"/>
  <c r="K9" i="25"/>
  <c r="K8" i="25"/>
  <c r="K7" i="25"/>
  <c r="K6" i="25"/>
  <c r="P11" i="25"/>
  <c r="P9" i="25"/>
  <c r="P8" i="25"/>
  <c r="P7" i="25"/>
  <c r="P6" i="25"/>
  <c r="U11" i="25"/>
  <c r="U9" i="25"/>
  <c r="U8" i="25"/>
  <c r="U7" i="25"/>
  <c r="U6" i="25"/>
  <c r="AE11" i="25"/>
  <c r="AE9" i="25"/>
  <c r="AE8" i="25"/>
  <c r="AE7" i="25"/>
  <c r="AE6" i="25"/>
  <c r="AN10" i="25"/>
  <c r="AN12" i="25" s="1"/>
  <c r="AO11" i="25"/>
  <c r="AO9" i="25"/>
  <c r="AO8" i="25"/>
  <c r="AO7" i="25"/>
  <c r="AO6" i="25"/>
  <c r="AT11" i="25"/>
  <c r="AT9" i="25"/>
  <c r="AT8" i="25"/>
  <c r="AT7" i="25"/>
  <c r="AT6" i="25"/>
  <c r="AV10" i="25"/>
  <c r="AV12" i="25" s="1"/>
  <c r="AU10" i="25"/>
  <c r="AU12" i="27" s="1"/>
  <c r="AU12" i="32" s="1"/>
  <c r="BA10" i="25"/>
  <c r="BA12" i="25" s="1"/>
  <c r="AZ10" i="25"/>
  <c r="AZ12" i="25" s="1"/>
  <c r="BB10" i="25"/>
  <c r="BB12" i="25" s="1"/>
  <c r="AY11" i="25"/>
  <c r="AY6" i="1"/>
  <c r="AY5" i="1"/>
  <c r="O48" i="1"/>
  <c r="N48" i="1"/>
  <c r="M48" i="1"/>
  <c r="L48" i="1"/>
  <c r="O47" i="1"/>
  <c r="N47" i="1"/>
  <c r="M47" i="1"/>
  <c r="L47" i="1"/>
  <c r="O46" i="1"/>
  <c r="N46" i="1"/>
  <c r="M46" i="1"/>
  <c r="L46" i="1"/>
  <c r="T48" i="1"/>
  <c r="S48" i="1"/>
  <c r="R48" i="1"/>
  <c r="Q48" i="1"/>
  <c r="T47" i="1"/>
  <c r="S47" i="1"/>
  <c r="R47" i="1"/>
  <c r="Q47" i="1"/>
  <c r="T46" i="1"/>
  <c r="S46" i="1"/>
  <c r="R46" i="1"/>
  <c r="Q46" i="1"/>
  <c r="BA47" i="1"/>
  <c r="BA46" i="1"/>
  <c r="BA48" i="1"/>
  <c r="AT46" i="28"/>
  <c r="AT45" i="28"/>
  <c r="AT44" i="28"/>
  <c r="AT38" i="28"/>
  <c r="AT37" i="28"/>
  <c r="AT34" i="28"/>
  <c r="AT29" i="28"/>
  <c r="AT28" i="28"/>
  <c r="AT22" i="28"/>
  <c r="AT19" i="28"/>
  <c r="AT20" i="28"/>
  <c r="AT21" i="28"/>
  <c r="AT8" i="28"/>
  <c r="AY44" i="28"/>
  <c r="AY45" i="28"/>
  <c r="AY46" i="28"/>
  <c r="AY38" i="28"/>
  <c r="AY37" i="28"/>
  <c r="AY34" i="28"/>
  <c r="AY29" i="28"/>
  <c r="AY28" i="28"/>
  <c r="AY22" i="28"/>
  <c r="AY19" i="28"/>
  <c r="AY20" i="28"/>
  <c r="AY21" i="28"/>
  <c r="AY7" i="25"/>
  <c r="AY8" i="25"/>
  <c r="AY9" i="25"/>
  <c r="AY22" i="25"/>
  <c r="AY20" i="25"/>
  <c r="AY6" i="25"/>
  <c r="AW47" i="1"/>
  <c r="AU48" i="1"/>
  <c r="AR47" i="1"/>
  <c r="AP48" i="1"/>
  <c r="AM47" i="1"/>
  <c r="AK48" i="1"/>
  <c r="AH47" i="1"/>
  <c r="AF47" i="1"/>
  <c r="AC47" i="1"/>
  <c r="AA48" i="1"/>
  <c r="AI46" i="1"/>
  <c r="AQ48" i="1"/>
  <c r="AD46" i="1"/>
  <c r="AL48" i="1"/>
  <c r="AX46" i="1"/>
  <c r="AG48" i="1"/>
  <c r="AS46" i="1"/>
  <c r="AB48" i="1"/>
  <c r="AN46" i="1"/>
  <c r="AV48" i="1"/>
  <c r="AZ46" i="1"/>
  <c r="AZ48" i="1"/>
  <c r="AZ47" i="1"/>
  <c r="AP46" i="1"/>
  <c r="AP47" i="1"/>
  <c r="AA47" i="1"/>
  <c r="AK47" i="1"/>
  <c r="AQ47" i="1"/>
  <c r="AD47" i="1"/>
  <c r="AH46" i="1"/>
  <c r="AN47" i="1"/>
  <c r="AS47" i="1"/>
  <c r="AV47" i="1"/>
  <c r="AG47" i="1"/>
  <c r="AQ46" i="1"/>
  <c r="AX47" i="1"/>
  <c r="AA46" i="1"/>
  <c r="AI47" i="1"/>
  <c r="AK46" i="1"/>
  <c r="AU46" i="1"/>
  <c r="AW48" i="1"/>
  <c r="AV46" i="1"/>
  <c r="AU47" i="1"/>
  <c r="AX48" i="1"/>
  <c r="AW46" i="1"/>
  <c r="AR48" i="1"/>
  <c r="AS48" i="1"/>
  <c r="AR46" i="1"/>
  <c r="AM48" i="1"/>
  <c r="AL46" i="1"/>
  <c r="AN48" i="1"/>
  <c r="AM46" i="1"/>
  <c r="AL47" i="1"/>
  <c r="AF48" i="1"/>
  <c r="AF46" i="1"/>
  <c r="AH48" i="1"/>
  <c r="AG46" i="1"/>
  <c r="AI48" i="1"/>
  <c r="AC48" i="1"/>
  <c r="AB46" i="1"/>
  <c r="AD48" i="1"/>
  <c r="AC46" i="1"/>
  <c r="AB47" i="1"/>
  <c r="AT49" i="28"/>
  <c r="AY49" i="28"/>
  <c r="AY34" i="25" l="1"/>
  <c r="BC53" i="1"/>
  <c r="BC57" i="1"/>
  <c r="BB78" i="29"/>
  <c r="BB79" i="29" s="1"/>
  <c r="R44" i="1"/>
  <c r="AZ44" i="1"/>
  <c r="AZ78" i="29"/>
  <c r="AX44" i="1"/>
  <c r="AX78" i="29"/>
  <c r="AX80" i="29" s="1"/>
  <c r="AR44" i="1"/>
  <c r="AR78" i="29"/>
  <c r="AC44" i="1"/>
  <c r="AC78" i="29"/>
  <c r="Z77" i="29"/>
  <c r="U14" i="29"/>
  <c r="AK80" i="29"/>
  <c r="AK79" i="29"/>
  <c r="AQ80" i="29"/>
  <c r="AQ81" i="29" s="1"/>
  <c r="AQ79" i="29"/>
  <c r="AI80" i="29"/>
  <c r="AI81" i="29" s="1"/>
  <c r="AI79" i="29"/>
  <c r="W80" i="29"/>
  <c r="W81" i="29" s="1"/>
  <c r="W79" i="29"/>
  <c r="R80" i="29"/>
  <c r="R81" i="29" s="1"/>
  <c r="R79" i="29"/>
  <c r="BD77" i="29"/>
  <c r="AY14" i="29"/>
  <c r="AU80" i="29"/>
  <c r="AU79" i="29"/>
  <c r="AS44" i="1"/>
  <c r="AS78" i="29"/>
  <c r="AT77" i="29"/>
  <c r="AO14" i="29"/>
  <c r="AB44" i="1"/>
  <c r="AB78" i="29"/>
  <c r="P48" i="1"/>
  <c r="U77" i="29"/>
  <c r="P14" i="29"/>
  <c r="AM44" i="1"/>
  <c r="AM78" i="29"/>
  <c r="AL80" i="29"/>
  <c r="AL81" i="29" s="1"/>
  <c r="AL79" i="29"/>
  <c r="AP44" i="1"/>
  <c r="AP78" i="29"/>
  <c r="AH44" i="1"/>
  <c r="AH78" i="29"/>
  <c r="X44" i="1"/>
  <c r="X78" i="29"/>
  <c r="Z78" i="29" s="1"/>
  <c r="Z79" i="29" s="1"/>
  <c r="Q79" i="29"/>
  <c r="Q80" i="29"/>
  <c r="AV44" i="1"/>
  <c r="AV78" i="29"/>
  <c r="AT14" i="29"/>
  <c r="AO77" i="29"/>
  <c r="AJ14" i="29"/>
  <c r="AA44" i="1"/>
  <c r="AA78" i="29"/>
  <c r="AG44" i="1"/>
  <c r="AG78" i="29"/>
  <c r="Y80" i="29"/>
  <c r="Y81" i="29" s="1"/>
  <c r="Y79" i="29"/>
  <c r="T80" i="29"/>
  <c r="T81" i="29" s="1"/>
  <c r="T79" i="29"/>
  <c r="BC80" i="29"/>
  <c r="BC79" i="29"/>
  <c r="BA44" i="1"/>
  <c r="BA78" i="29"/>
  <c r="AW44" i="1"/>
  <c r="AW78" i="29"/>
  <c r="AJ77" i="29"/>
  <c r="AE14" i="29"/>
  <c r="AD80" i="29"/>
  <c r="AD81" i="29" s="1"/>
  <c r="AD79" i="29"/>
  <c r="AN44" i="1"/>
  <c r="AN78" i="29"/>
  <c r="AF80" i="29"/>
  <c r="AF79" i="29"/>
  <c r="AE77" i="29"/>
  <c r="Z14" i="29"/>
  <c r="V80" i="29"/>
  <c r="V79" i="29"/>
  <c r="S44" i="1"/>
  <c r="S78" i="29"/>
  <c r="AO35" i="28"/>
  <c r="AX39" i="28"/>
  <c r="AY39" i="28" s="1"/>
  <c r="Z40" i="27"/>
  <c r="W12" i="32"/>
  <c r="Y49" i="27"/>
  <c r="Z49" i="27" s="1"/>
  <c r="AI40" i="32"/>
  <c r="AI49" i="32" s="1"/>
  <c r="S10" i="25"/>
  <c r="S12" i="27" s="1"/>
  <c r="AT35" i="28"/>
  <c r="AW20" i="1"/>
  <c r="Z47" i="1"/>
  <c r="AY25" i="1"/>
  <c r="T20" i="1"/>
  <c r="AE46" i="1"/>
  <c r="V20" i="1"/>
  <c r="S20" i="1"/>
  <c r="U47" i="1"/>
  <c r="Z46" i="1"/>
  <c r="U7" i="1"/>
  <c r="U44" i="1" s="1"/>
  <c r="F12" i="25"/>
  <c r="AB12" i="27"/>
  <c r="AJ34" i="25"/>
  <c r="AU12" i="25"/>
  <c r="AY12" i="25" s="1"/>
  <c r="AL12" i="27"/>
  <c r="AM12" i="32" s="1"/>
  <c r="AR12" i="27"/>
  <c r="AF12" i="25"/>
  <c r="AJ12" i="25" s="1"/>
  <c r="V44" i="1"/>
  <c r="T44" i="1"/>
  <c r="BA20" i="1"/>
  <c r="AY48" i="1"/>
  <c r="AT47" i="1"/>
  <c r="AJ47" i="1"/>
  <c r="AJ48" i="1"/>
  <c r="AJ25" i="1"/>
  <c r="AH20" i="1"/>
  <c r="Q20" i="1"/>
  <c r="BB20" i="1"/>
  <c r="AY47" i="1"/>
  <c r="AU20" i="1"/>
  <c r="AO46" i="1"/>
  <c r="AO48" i="1"/>
  <c r="AD20" i="1"/>
  <c r="U46" i="1"/>
  <c r="AJ18" i="1"/>
  <c r="AD44" i="1"/>
  <c r="AY46" i="1"/>
  <c r="AJ46" i="1"/>
  <c r="AE7" i="1"/>
  <c r="AE44" i="1" s="1"/>
  <c r="U48" i="1"/>
  <c r="P25" i="1"/>
  <c r="AQ20" i="1"/>
  <c r="AR20" i="1"/>
  <c r="AC20" i="1"/>
  <c r="P7" i="1"/>
  <c r="P44" i="1" s="1"/>
  <c r="M20" i="1"/>
  <c r="AJ50" i="28"/>
  <c r="Y39" i="28"/>
  <c r="Z39" i="28" s="1"/>
  <c r="AI63" i="28"/>
  <c r="AJ53" i="28"/>
  <c r="AD63" i="28"/>
  <c r="AE53" i="28"/>
  <c r="AC54" i="28"/>
  <c r="T39" i="28"/>
  <c r="U39" i="28" s="1"/>
  <c r="AE50" i="28"/>
  <c r="AW54" i="28"/>
  <c r="AD39" i="28"/>
  <c r="AD54" i="28" s="1"/>
  <c r="AE54" i="28" s="1"/>
  <c r="AF54" i="28"/>
  <c r="AG49" i="32"/>
  <c r="AH40" i="32"/>
  <c r="AH49" i="32" s="1"/>
  <c r="AJ40" i="27"/>
  <c r="Y49" i="32"/>
  <c r="Z49" i="32" s="1"/>
  <c r="Z40" i="32"/>
  <c r="AI49" i="27"/>
  <c r="AJ49" i="27" s="1"/>
  <c r="AG49" i="27"/>
  <c r="AT48" i="1"/>
  <c r="AE48" i="1"/>
  <c r="AF20" i="1"/>
  <c r="AF44" i="1"/>
  <c r="Y20" i="1"/>
  <c r="Y44" i="1"/>
  <c r="AT7" i="1"/>
  <c r="AT44" i="1" s="1"/>
  <c r="AO25" i="1"/>
  <c r="AQ44" i="1"/>
  <c r="AE25" i="1"/>
  <c r="U18" i="1"/>
  <c r="R20" i="1"/>
  <c r="AT25" i="1"/>
  <c r="Z48" i="1"/>
  <c r="L20" i="1"/>
  <c r="L44" i="1"/>
  <c r="P46" i="1"/>
  <c r="AN20" i="1"/>
  <c r="AK20" i="1"/>
  <c r="Z18" i="1"/>
  <c r="U25" i="1"/>
  <c r="G44" i="1"/>
  <c r="J45" i="1"/>
  <c r="AK44" i="1"/>
  <c r="Q44" i="1"/>
  <c r="AZ20" i="1"/>
  <c r="AT46" i="1"/>
  <c r="AT18" i="1"/>
  <c r="AO18" i="1"/>
  <c r="AO7" i="1"/>
  <c r="AO44" i="1" s="1"/>
  <c r="Z25" i="1"/>
  <c r="H44" i="1"/>
  <c r="K46" i="1"/>
  <c r="K48" i="1"/>
  <c r="O20" i="1"/>
  <c r="N20" i="1"/>
  <c r="BC45" i="1"/>
  <c r="AJ39" i="28"/>
  <c r="AI54" i="28"/>
  <c r="AJ54" i="28" s="1"/>
  <c r="AJ35" i="28"/>
  <c r="O39" i="28"/>
  <c r="P39" i="28" s="1"/>
  <c r="AP12" i="25"/>
  <c r="AE10" i="25"/>
  <c r="AK12" i="27"/>
  <c r="AK12" i="32" s="1"/>
  <c r="AH12" i="27"/>
  <c r="K12" i="25"/>
  <c r="AV12" i="27"/>
  <c r="AV12" i="32" s="1"/>
  <c r="AC12" i="27"/>
  <c r="AY10" i="25"/>
  <c r="AJ10" i="25"/>
  <c r="AQ12" i="27"/>
  <c r="AQ12" i="32" s="1"/>
  <c r="X10" i="25"/>
  <c r="X12" i="27" s="1"/>
  <c r="X12" i="32" s="1"/>
  <c r="AO12" i="25"/>
  <c r="BD12" i="25"/>
  <c r="BD10" i="25"/>
  <c r="BC12" i="27"/>
  <c r="AT10" i="25"/>
  <c r="BA12" i="27"/>
  <c r="AS12" i="27"/>
  <c r="AG12" i="27"/>
  <c r="AG12" i="32" s="1"/>
  <c r="AD12" i="27"/>
  <c r="AA12" i="27"/>
  <c r="AA12" i="32" s="1"/>
  <c r="R12" i="27"/>
  <c r="R12" i="32" s="1"/>
  <c r="AQ12" i="25"/>
  <c r="AA12" i="25"/>
  <c r="AE12" i="25" s="1"/>
  <c r="BB12" i="27"/>
  <c r="AZ12" i="27"/>
  <c r="AZ12" i="32" s="1"/>
  <c r="AX12" i="27"/>
  <c r="AI12" i="27"/>
  <c r="N10" i="25"/>
  <c r="N12" i="27" s="1"/>
  <c r="M12" i="27"/>
  <c r="M12" i="32" s="1"/>
  <c r="AO10" i="25"/>
  <c r="AW12" i="27"/>
  <c r="P47" i="1"/>
  <c r="AV20" i="1"/>
  <c r="AY18" i="1"/>
  <c r="AS20" i="1"/>
  <c r="AO47" i="1"/>
  <c r="AE47" i="1"/>
  <c r="AA20" i="1"/>
  <c r="AB20" i="1"/>
  <c r="AG20" i="1"/>
  <c r="AJ7" i="1"/>
  <c r="AJ44" i="1" s="1"/>
  <c r="BB44" i="1"/>
  <c r="BD7" i="1"/>
  <c r="AX20" i="1"/>
  <c r="AU44" i="1"/>
  <c r="AY7" i="1"/>
  <c r="G45" i="1"/>
  <c r="AE18" i="1"/>
  <c r="AL20" i="1"/>
  <c r="AL44" i="1"/>
  <c r="AI20" i="1"/>
  <c r="AI44" i="1"/>
  <c r="E45" i="1"/>
  <c r="BD25" i="1"/>
  <c r="X20" i="1"/>
  <c r="W20" i="1"/>
  <c r="Z7" i="1"/>
  <c r="Z44" i="1" s="1"/>
  <c r="W44" i="1"/>
  <c r="K44" i="1"/>
  <c r="BD18" i="1"/>
  <c r="P18" i="1"/>
  <c r="AM20" i="1"/>
  <c r="AP20" i="1"/>
  <c r="H45" i="1"/>
  <c r="F44" i="1"/>
  <c r="C44" i="1"/>
  <c r="BD39" i="28"/>
  <c r="BC27" i="1"/>
  <c r="BC49" i="1" s="1"/>
  <c r="AQ53" i="1" l="1"/>
  <c r="AH53" i="1"/>
  <c r="AW45" i="1"/>
  <c r="AW53" i="1"/>
  <c r="AB53" i="1"/>
  <c r="S27" i="1"/>
  <c r="S30" i="1" s="1"/>
  <c r="S33" i="1" s="1"/>
  <c r="S50" i="1" s="1"/>
  <c r="S53" i="1"/>
  <c r="AD45" i="1"/>
  <c r="AD57" i="1"/>
  <c r="AD53" i="1"/>
  <c r="AX53" i="1"/>
  <c r="AX57" i="1"/>
  <c r="AI53" i="1"/>
  <c r="AI57" i="1"/>
  <c r="AS53" i="1"/>
  <c r="AS57" i="1"/>
  <c r="Y53" i="1"/>
  <c r="Y54" i="1" s="1"/>
  <c r="Y55" i="1" s="1"/>
  <c r="Y57" i="1"/>
  <c r="M53" i="1"/>
  <c r="AU53" i="1"/>
  <c r="V27" i="1"/>
  <c r="V49" i="1" s="1"/>
  <c r="V57" i="1" s="1"/>
  <c r="V53" i="1"/>
  <c r="AP53" i="1"/>
  <c r="AM53" i="1"/>
  <c r="N27" i="1"/>
  <c r="N30" i="1" s="1"/>
  <c r="N33" i="1" s="1"/>
  <c r="N50" i="1" s="1"/>
  <c r="N53" i="1"/>
  <c r="R53" i="1"/>
  <c r="X53" i="1"/>
  <c r="L45" i="1"/>
  <c r="L53" i="1"/>
  <c r="AL53" i="1"/>
  <c r="AV53" i="1"/>
  <c r="O53" i="1"/>
  <c r="O57" i="1"/>
  <c r="AK53" i="1"/>
  <c r="AF53" i="1"/>
  <c r="AC27" i="1"/>
  <c r="AC30" i="1" s="1"/>
  <c r="AC33" i="1" s="1"/>
  <c r="AC50" i="1" s="1"/>
  <c r="AC53" i="1"/>
  <c r="BB53" i="1"/>
  <c r="BA53" i="1"/>
  <c r="T45" i="1"/>
  <c r="T57" i="1"/>
  <c r="T53" i="1"/>
  <c r="BC54" i="1"/>
  <c r="BC55" i="1" s="1"/>
  <c r="AA53" i="1"/>
  <c r="W53" i="1"/>
  <c r="AG53" i="1"/>
  <c r="AZ53" i="1"/>
  <c r="AN57" i="1"/>
  <c r="AN53" i="1"/>
  <c r="AN54" i="1" s="1"/>
  <c r="AN55" i="1" s="1"/>
  <c r="AR27" i="1"/>
  <c r="AR30" i="1" s="1"/>
  <c r="AR33" i="1" s="1"/>
  <c r="AR50" i="1" s="1"/>
  <c r="AR53" i="1"/>
  <c r="Q53" i="1"/>
  <c r="N49" i="1"/>
  <c r="N57" i="1" s="1"/>
  <c r="V30" i="1"/>
  <c r="V33" i="1" s="1"/>
  <c r="V50" i="1" s="1"/>
  <c r="BC30" i="1"/>
  <c r="BC33" i="1" s="1"/>
  <c r="BC50" i="1" s="1"/>
  <c r="BB80" i="29"/>
  <c r="BD44" i="1"/>
  <c r="AY44" i="1"/>
  <c r="AJ78" i="29"/>
  <c r="AJ79" i="29" s="1"/>
  <c r="BC81" i="29"/>
  <c r="BB45" i="1"/>
  <c r="BA27" i="1"/>
  <c r="BA49" i="1" s="1"/>
  <c r="BA57" i="1" s="1"/>
  <c r="AY78" i="29"/>
  <c r="X80" i="29"/>
  <c r="X81" i="29" s="1"/>
  <c r="X79" i="29"/>
  <c r="AP80" i="29"/>
  <c r="AT78" i="29"/>
  <c r="AT79" i="29" s="1"/>
  <c r="AP79" i="29"/>
  <c r="AM80" i="29"/>
  <c r="AM81" i="29" s="1"/>
  <c r="AM79" i="29"/>
  <c r="S80" i="29"/>
  <c r="S81" i="29" s="1"/>
  <c r="S79" i="29"/>
  <c r="V81" i="29"/>
  <c r="AW80" i="29"/>
  <c r="AW81" i="29" s="1"/>
  <c r="AW79" i="29"/>
  <c r="AA80" i="29"/>
  <c r="AA79" i="29"/>
  <c r="AE78" i="29"/>
  <c r="AE79" i="29" s="1"/>
  <c r="Q81" i="29"/>
  <c r="AB80" i="29"/>
  <c r="AB81" i="29" s="1"/>
  <c r="AB79" i="29"/>
  <c r="AS80" i="29"/>
  <c r="AS81" i="29" s="1"/>
  <c r="AS79" i="29"/>
  <c r="AU81" i="29"/>
  <c r="AO78" i="29"/>
  <c r="AO79" i="29" s="1"/>
  <c r="AR80" i="29"/>
  <c r="AR81" i="29" s="1"/>
  <c r="AR79" i="29"/>
  <c r="AZ80" i="29"/>
  <c r="BD78" i="29"/>
  <c r="AZ79" i="29"/>
  <c r="AF81" i="29"/>
  <c r="U78" i="29"/>
  <c r="U79" i="29" s="1"/>
  <c r="AH80" i="29"/>
  <c r="AH81" i="29" s="1"/>
  <c r="AH79" i="29"/>
  <c r="AK81" i="29"/>
  <c r="AN80" i="29"/>
  <c r="AN81" i="29" s="1"/>
  <c r="AN79" i="29"/>
  <c r="BA80" i="29"/>
  <c r="BA79" i="29"/>
  <c r="AG80" i="29"/>
  <c r="AG81" i="29" s="1"/>
  <c r="AG79" i="29"/>
  <c r="AV80" i="29"/>
  <c r="AV81" i="29" s="1"/>
  <c r="AV79" i="29"/>
  <c r="AC80" i="29"/>
  <c r="AC81" i="29" s="1"/>
  <c r="AC79" i="29"/>
  <c r="BB27" i="1"/>
  <c r="BB49" i="1" s="1"/>
  <c r="BB57" i="1" s="1"/>
  <c r="AD27" i="1"/>
  <c r="AD49" i="1" s="1"/>
  <c r="AC12" i="32"/>
  <c r="B12" i="32"/>
  <c r="C12" i="32"/>
  <c r="T10" i="25"/>
  <c r="T12" i="25" s="1"/>
  <c r="S12" i="25"/>
  <c r="AR45" i="1"/>
  <c r="Q27" i="1"/>
  <c r="Q49" i="1" s="1"/>
  <c r="Q57" i="1" s="1"/>
  <c r="AF45" i="1"/>
  <c r="AH27" i="1"/>
  <c r="AH49" i="1" s="1"/>
  <c r="AH57" i="1" s="1"/>
  <c r="AF27" i="1"/>
  <c r="AF49" i="1" s="1"/>
  <c r="AF57" i="1" s="1"/>
  <c r="AW27" i="1"/>
  <c r="BA45" i="1"/>
  <c r="S45" i="1"/>
  <c r="T27" i="1"/>
  <c r="Q45" i="1"/>
  <c r="AJ20" i="1"/>
  <c r="AJ45" i="1" s="1"/>
  <c r="V45" i="1"/>
  <c r="AC45" i="1"/>
  <c r="AU45" i="1"/>
  <c r="M27" i="1"/>
  <c r="M49" i="1" s="1"/>
  <c r="M57" i="1" s="1"/>
  <c r="AU27" i="1"/>
  <c r="AU49" i="1" s="1"/>
  <c r="AU57" i="1" s="1"/>
  <c r="N12" i="32"/>
  <c r="AT12" i="25"/>
  <c r="BA12" i="32"/>
  <c r="S12" i="32"/>
  <c r="BD20" i="1"/>
  <c r="AZ45" i="1"/>
  <c r="AH45" i="1"/>
  <c r="AZ27" i="1"/>
  <c r="AZ49" i="1" s="1"/>
  <c r="AZ57" i="1" s="1"/>
  <c r="AQ45" i="1"/>
  <c r="Y45" i="1"/>
  <c r="AN27" i="1"/>
  <c r="AQ27" i="1"/>
  <c r="AQ49" i="1" s="1"/>
  <c r="AQ57" i="1" s="1"/>
  <c r="M45" i="1"/>
  <c r="AJ63" i="28"/>
  <c r="AI64" i="28"/>
  <c r="AJ64" i="28" s="1"/>
  <c r="AE63" i="28"/>
  <c r="AD64" i="28"/>
  <c r="AE64" i="28" s="1"/>
  <c r="AE39" i="28"/>
  <c r="AJ40" i="32"/>
  <c r="BB12" i="32"/>
  <c r="AT12" i="27"/>
  <c r="AS12" i="32"/>
  <c r="BC12" i="32"/>
  <c r="AL12" i="32"/>
  <c r="AO12" i="32" s="1"/>
  <c r="AJ49" i="32"/>
  <c r="AJ12" i="27"/>
  <c r="AI12" i="32"/>
  <c r="AW24" i="27"/>
  <c r="AW53" i="27" s="1"/>
  <c r="AW12" i="32"/>
  <c r="AY12" i="27"/>
  <c r="AX12" i="32"/>
  <c r="AE12" i="27"/>
  <c r="AD12" i="32"/>
  <c r="AH12" i="32"/>
  <c r="AR12" i="32"/>
  <c r="AB12" i="32"/>
  <c r="AK27" i="1"/>
  <c r="AK49" i="1" s="1"/>
  <c r="AK57" i="1" s="1"/>
  <c r="AK45" i="1"/>
  <c r="N45" i="1"/>
  <c r="R45" i="1"/>
  <c r="Y27" i="1"/>
  <c r="Y49" i="1" s="1"/>
  <c r="AN45" i="1"/>
  <c r="R27" i="1"/>
  <c r="O27" i="1"/>
  <c r="O45" i="1"/>
  <c r="L27" i="1"/>
  <c r="L49" i="1" s="1"/>
  <c r="L57" i="1" s="1"/>
  <c r="P20" i="1"/>
  <c r="P45" i="1" s="1"/>
  <c r="K53" i="1"/>
  <c r="K55" i="1"/>
  <c r="K60" i="1" s="1"/>
  <c r="U20" i="1"/>
  <c r="U45" i="1" s="1"/>
  <c r="AJ53" i="1"/>
  <c r="Y12" i="27"/>
  <c r="BD12" i="27"/>
  <c r="BC24" i="27"/>
  <c r="O10" i="25"/>
  <c r="P10" i="25" s="1"/>
  <c r="N12" i="25"/>
  <c r="AA27" i="1"/>
  <c r="AA49" i="1" s="1"/>
  <c r="AA57" i="1" s="1"/>
  <c r="AA45" i="1"/>
  <c r="AE20" i="1"/>
  <c r="AE45" i="1" s="1"/>
  <c r="AP27" i="1"/>
  <c r="AP49" i="1" s="1"/>
  <c r="AP57" i="1" s="1"/>
  <c r="AT20" i="1"/>
  <c r="AT45" i="1" s="1"/>
  <c r="AP45" i="1"/>
  <c r="AX27" i="1"/>
  <c r="AX45" i="1"/>
  <c r="AV27" i="1"/>
  <c r="AV45" i="1"/>
  <c r="I45" i="1"/>
  <c r="Z20" i="1"/>
  <c r="Z45" i="1" s="1"/>
  <c r="W45" i="1"/>
  <c r="W27" i="1"/>
  <c r="AI45" i="1"/>
  <c r="AI27" i="1"/>
  <c r="K45" i="1"/>
  <c r="AS45" i="1"/>
  <c r="AS27" i="1"/>
  <c r="AY20" i="1"/>
  <c r="C45" i="1"/>
  <c r="B45" i="1"/>
  <c r="F45" i="1"/>
  <c r="AM27" i="1"/>
  <c r="AM45" i="1"/>
  <c r="X27" i="1"/>
  <c r="X45" i="1"/>
  <c r="AL27" i="1"/>
  <c r="AL45" i="1"/>
  <c r="AO20" i="1"/>
  <c r="AO45" i="1" s="1"/>
  <c r="AG45" i="1"/>
  <c r="AG27" i="1"/>
  <c r="AB45" i="1"/>
  <c r="AB27" i="1"/>
  <c r="AR49" i="1" l="1"/>
  <c r="AR57" i="1" s="1"/>
  <c r="BD57" i="1"/>
  <c r="AC49" i="1"/>
  <c r="AC57" i="1" s="1"/>
  <c r="S49" i="1"/>
  <c r="S57" i="1" s="1"/>
  <c r="AT57" i="1"/>
  <c r="P57" i="1"/>
  <c r="BA54" i="1"/>
  <c r="BA55" i="1" s="1"/>
  <c r="AD54" i="1"/>
  <c r="AD55" i="1" s="1"/>
  <c r="AZ54" i="1"/>
  <c r="AA54" i="1"/>
  <c r="AF54" i="1"/>
  <c r="V54" i="1"/>
  <c r="L54" i="1"/>
  <c r="N54" i="1"/>
  <c r="N55" i="1" s="1"/>
  <c r="AS54" i="1"/>
  <c r="AS55" i="1" s="1"/>
  <c r="Q54" i="1"/>
  <c r="Q55" i="1" s="1"/>
  <c r="BB54" i="1"/>
  <c r="BB55" i="1" s="1"/>
  <c r="AK54" i="1"/>
  <c r="T54" i="1"/>
  <c r="T55" i="1" s="1"/>
  <c r="AU54" i="1"/>
  <c r="AI54" i="1"/>
  <c r="AI55" i="1" s="1"/>
  <c r="AH54" i="1"/>
  <c r="AH55" i="1" s="1"/>
  <c r="AR54" i="1"/>
  <c r="AR55" i="1" s="1"/>
  <c r="O54" i="1"/>
  <c r="O55" i="1" s="1"/>
  <c r="AQ54" i="1"/>
  <c r="AQ55" i="1" s="1"/>
  <c r="AC54" i="1"/>
  <c r="AC55" i="1" s="1"/>
  <c r="AP54" i="1"/>
  <c r="M54" i="1"/>
  <c r="M55" i="1" s="1"/>
  <c r="AX54" i="1"/>
  <c r="AX55" i="1" s="1"/>
  <c r="BB81" i="29"/>
  <c r="AL30" i="1"/>
  <c r="AL49" i="1"/>
  <c r="AL57" i="1" s="1"/>
  <c r="Z53" i="1"/>
  <c r="T30" i="1"/>
  <c r="T49" i="1"/>
  <c r="AS30" i="1"/>
  <c r="AS49" i="1"/>
  <c r="AN30" i="1"/>
  <c r="AN49" i="1"/>
  <c r="AB30" i="1"/>
  <c r="AB49" i="1"/>
  <c r="AB57" i="1" s="1"/>
  <c r="AE57" i="1" s="1"/>
  <c r="X30" i="1"/>
  <c r="X49" i="1"/>
  <c r="X57" i="1" s="1"/>
  <c r="AV30" i="1"/>
  <c r="AV33" i="1" s="1"/>
  <c r="AV50" i="1" s="1"/>
  <c r="AV49" i="1"/>
  <c r="AV57" i="1" s="1"/>
  <c r="O30" i="1"/>
  <c r="O33" i="1" s="1"/>
  <c r="O50" i="1" s="1"/>
  <c r="O49" i="1"/>
  <c r="AG30" i="1"/>
  <c r="AG33" i="1" s="1"/>
  <c r="AG50" i="1" s="1"/>
  <c r="AG49" i="1"/>
  <c r="AG57" i="1" s="1"/>
  <c r="AJ57" i="1" s="1"/>
  <c r="AJ59" i="1" s="1"/>
  <c r="R30" i="1"/>
  <c r="R33" i="1" s="1"/>
  <c r="R50" i="1" s="1"/>
  <c r="R49" i="1"/>
  <c r="R57" i="1" s="1"/>
  <c r="U57" i="1" s="1"/>
  <c r="AM30" i="1"/>
  <c r="AM33" i="1" s="1"/>
  <c r="AM50" i="1" s="1"/>
  <c r="AM49" i="1"/>
  <c r="AM57" i="1" s="1"/>
  <c r="AX30" i="1"/>
  <c r="AX33" i="1" s="1"/>
  <c r="AX50" i="1" s="1"/>
  <c r="AX49" i="1"/>
  <c r="AW30" i="1"/>
  <c r="AW33" i="1" s="1"/>
  <c r="AW50" i="1" s="1"/>
  <c r="AW49" i="1"/>
  <c r="AW57" i="1" s="1"/>
  <c r="AI30" i="1"/>
  <c r="AI33" i="1" s="1"/>
  <c r="AI50" i="1" s="1"/>
  <c r="AI49" i="1"/>
  <c r="W30" i="1"/>
  <c r="W33" i="1" s="1"/>
  <c r="W50" i="1" s="1"/>
  <c r="W49" i="1"/>
  <c r="W57" i="1" s="1"/>
  <c r="Q30" i="1"/>
  <c r="Q33" i="1" s="1"/>
  <c r="U27" i="1"/>
  <c r="U49" i="1" s="1"/>
  <c r="BA30" i="1"/>
  <c r="BA33" i="1" s="1"/>
  <c r="BA50" i="1" s="1"/>
  <c r="AH30" i="1"/>
  <c r="AH33" i="1" s="1"/>
  <c r="AH50" i="1" s="1"/>
  <c r="AA30" i="1"/>
  <c r="AE27" i="1"/>
  <c r="AE49" i="1" s="1"/>
  <c r="M30" i="1"/>
  <c r="M33" i="1" s="1"/>
  <c r="M50" i="1" s="1"/>
  <c r="AD30" i="1"/>
  <c r="AD33" i="1" s="1"/>
  <c r="AD50" i="1" s="1"/>
  <c r="AU30" i="1"/>
  <c r="AY27" i="1"/>
  <c r="AY49" i="1" s="1"/>
  <c r="Y30" i="1"/>
  <c r="Y33" i="1" s="1"/>
  <c r="AT27" i="1"/>
  <c r="AT49" i="1" s="1"/>
  <c r="AP30" i="1"/>
  <c r="BB30" i="1"/>
  <c r="BB33" i="1" s="1"/>
  <c r="BB50" i="1" s="1"/>
  <c r="Z27" i="1"/>
  <c r="Z49" i="1" s="1"/>
  <c r="AO27" i="1"/>
  <c r="AO49" i="1" s="1"/>
  <c r="AK30" i="1"/>
  <c r="AQ30" i="1"/>
  <c r="L30" i="1"/>
  <c r="L33" i="1" s="1"/>
  <c r="L50" i="1" s="1"/>
  <c r="P27" i="1"/>
  <c r="P49" i="1" s="1"/>
  <c r="AZ30" i="1"/>
  <c r="BD27" i="1"/>
  <c r="BD49" i="1" s="1"/>
  <c r="AF30" i="1"/>
  <c r="AF33" i="1" s="1"/>
  <c r="AF50" i="1" s="1"/>
  <c r="AJ27" i="1"/>
  <c r="AJ49" i="1" s="1"/>
  <c r="U10" i="25"/>
  <c r="AY45" i="1"/>
  <c r="U80" i="29"/>
  <c r="U81" i="29" s="1"/>
  <c r="Z80" i="29"/>
  <c r="Z81" i="29" s="1"/>
  <c r="BA81" i="29"/>
  <c r="BD79" i="29"/>
  <c r="BD53" i="1"/>
  <c r="BD45" i="1"/>
  <c r="U12" i="25"/>
  <c r="AY53" i="1"/>
  <c r="AA81" i="29"/>
  <c r="AE80" i="29"/>
  <c r="AE81" i="29" s="1"/>
  <c r="AP81" i="29"/>
  <c r="AT80" i="29"/>
  <c r="AT81" i="29" s="1"/>
  <c r="AO80" i="29"/>
  <c r="AO81" i="29" s="1"/>
  <c r="AJ80" i="29"/>
  <c r="AJ81" i="29" s="1"/>
  <c r="AZ81" i="29"/>
  <c r="BD80" i="29"/>
  <c r="AY80" i="29"/>
  <c r="AN33" i="1"/>
  <c r="AN50" i="1" s="1"/>
  <c r="AB33" i="1"/>
  <c r="AB50" i="1" s="1"/>
  <c r="X33" i="1"/>
  <c r="X50" i="1" s="1"/>
  <c r="AS33" i="1"/>
  <c r="AS50" i="1" s="1"/>
  <c r="AL33" i="1"/>
  <c r="AL50" i="1" s="1"/>
  <c r="T33" i="1"/>
  <c r="T50" i="1" s="1"/>
  <c r="F12" i="32"/>
  <c r="T12" i="27"/>
  <c r="U12" i="27" s="1"/>
  <c r="AQ33" i="1"/>
  <c r="AQ50" i="1" s="1"/>
  <c r="AE53" i="1"/>
  <c r="AT53" i="1"/>
  <c r="AJ12" i="32"/>
  <c r="AY12" i="32"/>
  <c r="AE12" i="32"/>
  <c r="Z12" i="27"/>
  <c r="Y12" i="32"/>
  <c r="Z12" i="32" s="1"/>
  <c r="AT12" i="32"/>
  <c r="BD12" i="32"/>
  <c r="P53" i="1"/>
  <c r="U53" i="1"/>
  <c r="AO53" i="1"/>
  <c r="O12" i="25"/>
  <c r="P12" i="25" s="1"/>
  <c r="O12" i="27"/>
  <c r="BD24" i="27"/>
  <c r="BC53" i="27"/>
  <c r="BD53" i="27" s="1"/>
  <c r="X54" i="1" l="1"/>
  <c r="X55" i="1" s="1"/>
  <c r="AM54" i="1"/>
  <c r="AM55" i="1" s="1"/>
  <c r="AO57" i="1"/>
  <c r="S54" i="1"/>
  <c r="S55" i="1" s="1"/>
  <c r="W54" i="1"/>
  <c r="W55" i="1" s="1"/>
  <c r="AY57" i="1"/>
  <c r="AB54" i="1"/>
  <c r="AB55" i="1" s="1"/>
  <c r="Z30" i="1"/>
  <c r="Z57" i="1"/>
  <c r="AL54" i="1"/>
  <c r="AL55" i="1" s="1"/>
  <c r="AT30" i="1"/>
  <c r="AE30" i="1"/>
  <c r="AZ55" i="1"/>
  <c r="BD55" i="1" s="1"/>
  <c r="BD54" i="1"/>
  <c r="BD30" i="1"/>
  <c r="AU55" i="1"/>
  <c r="V55" i="1"/>
  <c r="R54" i="1"/>
  <c r="R55" i="1" s="1"/>
  <c r="P30" i="1"/>
  <c r="AK55" i="1"/>
  <c r="AJ54" i="1"/>
  <c r="AO30" i="1"/>
  <c r="P54" i="1"/>
  <c r="AF55" i="1"/>
  <c r="AY30" i="1"/>
  <c r="U30" i="1"/>
  <c r="AT54" i="1"/>
  <c r="AG54" i="1"/>
  <c r="AG55" i="1" s="1"/>
  <c r="L55" i="1"/>
  <c r="P55" i="1" s="1"/>
  <c r="AE54" i="1"/>
  <c r="AP33" i="1"/>
  <c r="AP50" i="1" s="1"/>
  <c r="AP55" i="1"/>
  <c r="AT55" i="1" s="1"/>
  <c r="AW54" i="1"/>
  <c r="AW55" i="1" s="1"/>
  <c r="AA55" i="1"/>
  <c r="AV54" i="1"/>
  <c r="AV55" i="1" s="1"/>
  <c r="AJ30" i="1"/>
  <c r="AK33" i="1"/>
  <c r="AO33" i="1" s="1"/>
  <c r="AO50" i="1" s="1"/>
  <c r="AA33" i="1"/>
  <c r="AA50" i="1" s="1"/>
  <c r="BD81" i="29"/>
  <c r="U33" i="1"/>
  <c r="U50" i="1" s="1"/>
  <c r="Q50" i="1"/>
  <c r="Z33" i="1"/>
  <c r="Z50" i="1" s="1"/>
  <c r="Y50" i="1"/>
  <c r="AE33" i="1"/>
  <c r="AE50" i="1" s="1"/>
  <c r="T12" i="32"/>
  <c r="U12" i="32" s="1"/>
  <c r="P33" i="1"/>
  <c r="P50" i="1" s="1"/>
  <c r="L48" i="28"/>
  <c r="L50" i="28" s="1"/>
  <c r="L53" i="28" s="1"/>
  <c r="AU33" i="1"/>
  <c r="AJ33" i="1"/>
  <c r="AZ33" i="1"/>
  <c r="P12" i="27"/>
  <c r="O12" i="32"/>
  <c r="P12" i="32" s="1"/>
  <c r="B6" i="27"/>
  <c r="Z54" i="1" l="1"/>
  <c r="AK50" i="1"/>
  <c r="AE55" i="1"/>
  <c r="U55" i="1"/>
  <c r="Z55" i="1"/>
  <c r="AJ55" i="1"/>
  <c r="AJ60" i="1" s="1"/>
  <c r="AY55" i="1"/>
  <c r="AO55" i="1"/>
  <c r="AO54" i="1"/>
  <c r="U54" i="1"/>
  <c r="AT33" i="1"/>
  <c r="AT50" i="1" s="1"/>
  <c r="AY54" i="1"/>
  <c r="AJ50" i="1"/>
  <c r="BD33" i="1"/>
  <c r="BD50" i="1" s="1"/>
  <c r="AZ50" i="1"/>
  <c r="AY33" i="1"/>
  <c r="AY50" i="1" s="1"/>
  <c r="AU50" i="1"/>
  <c r="B24" i="27"/>
  <c r="B53" i="27" s="1"/>
  <c r="B55" i="27" s="1"/>
  <c r="B57" i="27" s="1"/>
  <c r="B6" i="32"/>
  <c r="L63" i="28"/>
  <c r="L64" i="28" s="1"/>
  <c r="L54" i="28"/>
  <c r="B37" i="1"/>
  <c r="B36" i="1"/>
  <c r="E36" i="1"/>
  <c r="C6" i="27"/>
  <c r="C24" i="27" l="1"/>
  <c r="C53" i="27" s="1"/>
  <c r="C6" i="32"/>
  <c r="C24" i="32" s="1"/>
  <c r="C53" i="32" s="1"/>
  <c r="B24" i="32"/>
  <c r="D37" i="1"/>
  <c r="D36" i="1"/>
  <c r="D6" i="27"/>
  <c r="C36" i="1"/>
  <c r="F33" i="1"/>
  <c r="F50" i="1" s="1"/>
  <c r="C37" i="1"/>
  <c r="E37" i="1"/>
  <c r="C55" i="27" l="1"/>
  <c r="C57" i="27" s="1"/>
  <c r="C7" i="28" s="1"/>
  <c r="C16" i="28" s="1"/>
  <c r="C23" i="28" s="1"/>
  <c r="C55" i="28" s="1"/>
  <c r="B53" i="32"/>
  <c r="D24" i="27"/>
  <c r="D53" i="27" s="1"/>
  <c r="D6" i="32"/>
  <c r="D24" i="32" s="1"/>
  <c r="D53" i="32" s="1"/>
  <c r="E6" i="27"/>
  <c r="F36" i="1"/>
  <c r="F37" i="1"/>
  <c r="D55" i="27" l="1"/>
  <c r="D57" i="27" s="1"/>
  <c r="D7" i="28" s="1"/>
  <c r="D16" i="28" s="1"/>
  <c r="D23" i="28" s="1"/>
  <c r="D55" i="28" s="1"/>
  <c r="C65" i="28"/>
  <c r="F6" i="27"/>
  <c r="E6" i="32"/>
  <c r="E24" i="32" s="1"/>
  <c r="E53" i="32" s="1"/>
  <c r="F53" i="32" s="1"/>
  <c r="F55" i="32" s="1"/>
  <c r="F57" i="32" s="1"/>
  <c r="B55" i="32"/>
  <c r="B57" i="32" s="1"/>
  <c r="E24" i="27"/>
  <c r="E53" i="27" s="1"/>
  <c r="E55" i="27" s="1"/>
  <c r="D65" i="28" l="1"/>
  <c r="E57" i="27"/>
  <c r="E7" i="28" s="1"/>
  <c r="F55" i="27"/>
  <c r="F57" i="27" s="1"/>
  <c r="F6" i="32"/>
  <c r="G54" i="32"/>
  <c r="K54" i="32"/>
  <c r="C54" i="32"/>
  <c r="C55" i="32" s="1"/>
  <c r="C57" i="32" s="1"/>
  <c r="B58" i="32"/>
  <c r="F24" i="32"/>
  <c r="F24" i="27"/>
  <c r="F53" i="27"/>
  <c r="I54" i="27" l="1"/>
  <c r="H54" i="27"/>
  <c r="G54" i="27"/>
  <c r="J54" i="27"/>
  <c r="D54" i="32"/>
  <c r="D55" i="32" s="1"/>
  <c r="D57" i="32" s="1"/>
  <c r="C58" i="32"/>
  <c r="F58" i="32"/>
  <c r="G37" i="1"/>
  <c r="G6" i="27"/>
  <c r="G24" i="27" l="1"/>
  <c r="G53" i="27" s="1"/>
  <c r="G6" i="32"/>
  <c r="D58" i="32"/>
  <c r="E54" i="32"/>
  <c r="E55" i="32" s="1"/>
  <c r="F7" i="28"/>
  <c r="E16" i="28"/>
  <c r="E65" i="28"/>
  <c r="F65" i="28" s="1"/>
  <c r="H6" i="27"/>
  <c r="H6" i="32" s="1"/>
  <c r="H24" i="32" s="1"/>
  <c r="H53" i="32" s="1"/>
  <c r="H36" i="1"/>
  <c r="H37" i="1"/>
  <c r="J37" i="1"/>
  <c r="J36" i="1"/>
  <c r="I36" i="1"/>
  <c r="I37" i="1"/>
  <c r="G36" i="1"/>
  <c r="G55" i="27" l="1"/>
  <c r="G57" i="27" s="1"/>
  <c r="G7" i="28" s="1"/>
  <c r="G65" i="28" s="1"/>
  <c r="E58" i="32"/>
  <c r="E57" i="32"/>
  <c r="K54" i="27"/>
  <c r="G24" i="32"/>
  <c r="F16" i="28"/>
  <c r="E23" i="28"/>
  <c r="H24" i="27"/>
  <c r="H53" i="27" s="1"/>
  <c r="H55" i="27" s="1"/>
  <c r="H57" i="27" s="1"/>
  <c r="H7" i="28" s="1"/>
  <c r="I6" i="27"/>
  <c r="I6" i="32" s="1"/>
  <c r="I24" i="32" s="1"/>
  <c r="I53" i="32" s="1"/>
  <c r="K37" i="1"/>
  <c r="K36" i="1"/>
  <c r="G53" i="32" l="1"/>
  <c r="G16" i="28"/>
  <c r="G23" i="28" s="1"/>
  <c r="G55" i="28" s="1"/>
  <c r="H65" i="28"/>
  <c r="F23" i="28"/>
  <c r="F55" i="28" s="1"/>
  <c r="E55" i="28"/>
  <c r="J6" i="27"/>
  <c r="J6" i="32" s="1"/>
  <c r="I24" i="27"/>
  <c r="I53" i="27" s="1"/>
  <c r="I55" i="27" s="1"/>
  <c r="I57" i="27" s="1"/>
  <c r="I7" i="28" s="1"/>
  <c r="J24" i="32" l="1"/>
  <c r="K6" i="32"/>
  <c r="G55" i="32"/>
  <c r="G57" i="32" s="1"/>
  <c r="H16" i="28"/>
  <c r="H23" i="28" s="1"/>
  <c r="H55" i="28" s="1"/>
  <c r="I16" i="28"/>
  <c r="I23" i="28" s="1"/>
  <c r="I55" i="28" s="1"/>
  <c r="K6" i="27"/>
  <c r="J24" i="27"/>
  <c r="H54" i="32" l="1"/>
  <c r="H55" i="32" s="1"/>
  <c r="H57" i="32" s="1"/>
  <c r="G58" i="32"/>
  <c r="J53" i="32"/>
  <c r="K53" i="32" s="1"/>
  <c r="K55" i="32" s="1"/>
  <c r="K57" i="32" s="1"/>
  <c r="K24" i="32"/>
  <c r="I65" i="28"/>
  <c r="K24" i="27"/>
  <c r="J53" i="27"/>
  <c r="J55" i="27" s="1"/>
  <c r="J57" i="27" l="1"/>
  <c r="J7" i="28" s="1"/>
  <c r="K55" i="27"/>
  <c r="K57" i="27" s="1"/>
  <c r="I54" i="32"/>
  <c r="I55" i="32" s="1"/>
  <c r="I57" i="32" s="1"/>
  <c r="H58" i="32"/>
  <c r="K53" i="27"/>
  <c r="O54" i="27" l="1"/>
  <c r="P54" i="27" s="1"/>
  <c r="L54" i="27"/>
  <c r="N54" i="27"/>
  <c r="M54" i="27"/>
  <c r="J54" i="32"/>
  <c r="J55" i="32" s="1"/>
  <c r="I58" i="32"/>
  <c r="K58" i="32"/>
  <c r="J58" i="32" l="1"/>
  <c r="J57" i="32"/>
  <c r="K7" i="28"/>
  <c r="J16" i="28"/>
  <c r="J65" i="28"/>
  <c r="K65" i="28" s="1"/>
  <c r="K61" i="1" s="1"/>
  <c r="P54" i="32" l="1"/>
  <c r="L54" i="32"/>
  <c r="J23" i="28"/>
  <c r="K16" i="28"/>
  <c r="K23" i="28" l="1"/>
  <c r="K55" i="28" s="1"/>
  <c r="J55" i="28"/>
  <c r="L36" i="1"/>
  <c r="L37" i="1"/>
  <c r="N36" i="1"/>
  <c r="L6" i="27"/>
  <c r="L24" i="27" s="1"/>
  <c r="L53" i="27" s="1"/>
  <c r="L55" i="27" s="1"/>
  <c r="L57" i="27" s="1"/>
  <c r="L7" i="28" s="1"/>
  <c r="M6" i="27" l="1"/>
  <c r="M6" i="32" s="1"/>
  <c r="M24" i="32" s="1"/>
  <c r="M53" i="32" s="1"/>
  <c r="L65" i="28"/>
  <c r="L16" i="28"/>
  <c r="L23" i="28" s="1"/>
  <c r="L55" i="28" s="1"/>
  <c r="O36" i="1"/>
  <c r="O37" i="1"/>
  <c r="L6" i="32"/>
  <c r="M37" i="1"/>
  <c r="M36" i="1"/>
  <c r="M48" i="28"/>
  <c r="N37" i="1"/>
  <c r="N6" i="27" l="1"/>
  <c r="O6" i="27" s="1"/>
  <c r="M24" i="27"/>
  <c r="M53" i="27" s="1"/>
  <c r="N48" i="28"/>
  <c r="M50" i="28"/>
  <c r="M53" i="28" s="1"/>
  <c r="L24" i="32"/>
  <c r="P37" i="1"/>
  <c r="P36" i="1"/>
  <c r="M55" i="27" l="1"/>
  <c r="M57" i="27" s="1"/>
  <c r="M7" i="28" s="1"/>
  <c r="M16" i="28" s="1"/>
  <c r="M23" i="28" s="1"/>
  <c r="N24" i="27"/>
  <c r="N53" i="27" s="1"/>
  <c r="N6" i="32"/>
  <c r="N24" i="32" s="1"/>
  <c r="N53" i="32" s="1"/>
  <c r="L53" i="32"/>
  <c r="M54" i="28"/>
  <c r="M63" i="28"/>
  <c r="M64" i="28" s="1"/>
  <c r="P6" i="27"/>
  <c r="O24" i="27"/>
  <c r="O6" i="32"/>
  <c r="N50" i="28"/>
  <c r="N53" i="28" s="1"/>
  <c r="O48" i="28"/>
  <c r="M65" i="28" l="1"/>
  <c r="M55" i="28"/>
  <c r="N55" i="27"/>
  <c r="N57" i="27" s="1"/>
  <c r="N7" i="28" s="1"/>
  <c r="N16" i="28" s="1"/>
  <c r="N23" i="28" s="1"/>
  <c r="P24" i="27"/>
  <c r="O53" i="27"/>
  <c r="O55" i="27" s="1"/>
  <c r="P48" i="28"/>
  <c r="O50" i="28"/>
  <c r="N54" i="28"/>
  <c r="N63" i="28"/>
  <c r="N64" i="28" s="1"/>
  <c r="L55" i="32"/>
  <c r="L57" i="32" s="1"/>
  <c r="O24" i="32"/>
  <c r="P6" i="32"/>
  <c r="P55" i="27" l="1"/>
  <c r="P57" i="27" s="1"/>
  <c r="O57" i="27"/>
  <c r="O7" i="28" s="1"/>
  <c r="N55" i="28"/>
  <c r="N65" i="28"/>
  <c r="M54" i="32"/>
  <c r="M55" i="32" s="1"/>
  <c r="M57" i="32" s="1"/>
  <c r="L58" i="32"/>
  <c r="P50" i="28"/>
  <c r="O53" i="28"/>
  <c r="P53" i="27"/>
  <c r="O53" i="32"/>
  <c r="P24" i="32"/>
  <c r="S54" i="27" l="1"/>
  <c r="T54" i="27"/>
  <c r="U54" i="27" s="1"/>
  <c r="R54" i="27"/>
  <c r="Q54" i="27"/>
  <c r="N54" i="32"/>
  <c r="N55" i="32" s="1"/>
  <c r="N57" i="32" s="1"/>
  <c r="M58" i="32"/>
  <c r="O54" i="28"/>
  <c r="P54" i="28" s="1"/>
  <c r="O63" i="28"/>
  <c r="P53" i="28"/>
  <c r="P59" i="1" s="1"/>
  <c r="P53" i="32"/>
  <c r="P55" i="32" s="1"/>
  <c r="P57" i="32" s="1"/>
  <c r="P58" i="32" l="1"/>
  <c r="O54" i="32"/>
  <c r="O55" i="32" s="1"/>
  <c r="N58" i="32"/>
  <c r="U54" i="32"/>
  <c r="Q54" i="32"/>
  <c r="P63" i="28"/>
  <c r="O64" i="28"/>
  <c r="O16" i="28"/>
  <c r="P7" i="28"/>
  <c r="O58" i="32" l="1"/>
  <c r="O57" i="32"/>
  <c r="P64" i="28"/>
  <c r="P60" i="1" s="1"/>
  <c r="O65" i="28"/>
  <c r="P65" i="28" s="1"/>
  <c r="P61" i="1" s="1"/>
  <c r="P16" i="28"/>
  <c r="O23" i="28"/>
  <c r="O55" i="28" l="1"/>
  <c r="P23" i="28"/>
  <c r="P55" i="28" s="1"/>
  <c r="S37" i="1"/>
  <c r="Q6" i="27"/>
  <c r="R6" i="27" s="1"/>
  <c r="S36" i="1"/>
  <c r="Q6" i="32" l="1"/>
  <c r="Q24" i="32" s="1"/>
  <c r="Q53" i="32" s="1"/>
  <c r="T37" i="1"/>
  <c r="T36" i="1"/>
  <c r="Q37" i="1"/>
  <c r="Q36" i="1"/>
  <c r="Q48" i="28"/>
  <c r="Q50" i="28" s="1"/>
  <c r="Q53" i="28" s="1"/>
  <c r="R6" i="32"/>
  <c r="R24" i="32" s="1"/>
  <c r="R53" i="32" s="1"/>
  <c r="R24" i="27"/>
  <c r="R53" i="27" s="1"/>
  <c r="S6" i="27"/>
  <c r="Q24" i="27"/>
  <c r="Q53" i="27" s="1"/>
  <c r="R36" i="1"/>
  <c r="R37" i="1"/>
  <c r="R55" i="27" l="1"/>
  <c r="R57" i="27" s="1"/>
  <c r="R7" i="28" s="1"/>
  <c r="R16" i="28" s="1"/>
  <c r="R23" i="28" s="1"/>
  <c r="Q55" i="27"/>
  <c r="Q57" i="27" s="1"/>
  <c r="Q7" i="28" s="1"/>
  <c r="Q16" i="28" s="1"/>
  <c r="Q23" i="28" s="1"/>
  <c r="U36" i="1"/>
  <c r="U37" i="1"/>
  <c r="Q55" i="32"/>
  <c r="Q57" i="32" s="1"/>
  <c r="Q54" i="28"/>
  <c r="Q63" i="28"/>
  <c r="Q64" i="28" s="1"/>
  <c r="S24" i="27"/>
  <c r="S53" i="27" s="1"/>
  <c r="T6" i="27"/>
  <c r="S6" i="32"/>
  <c r="R48" i="28"/>
  <c r="Q65" i="28" l="1"/>
  <c r="Q55" i="28"/>
  <c r="S55" i="27"/>
  <c r="S57" i="27" s="1"/>
  <c r="S7" i="28" s="1"/>
  <c r="S16" i="28" s="1"/>
  <c r="S23" i="28" s="1"/>
  <c r="R54" i="32"/>
  <c r="R55" i="32" s="1"/>
  <c r="R57" i="32" s="1"/>
  <c r="Q58" i="32"/>
  <c r="R50" i="28"/>
  <c r="R53" i="28" s="1"/>
  <c r="S48" i="28"/>
  <c r="U6" i="27"/>
  <c r="T24" i="27"/>
  <c r="T6" i="32"/>
  <c r="T24" i="32" s="1"/>
  <c r="T53" i="32" s="1"/>
  <c r="S24" i="32"/>
  <c r="S54" i="32" l="1"/>
  <c r="R58" i="32"/>
  <c r="U6" i="32"/>
  <c r="S53" i="32"/>
  <c r="U24" i="32"/>
  <c r="S50" i="28"/>
  <c r="S53" i="28" s="1"/>
  <c r="T48" i="28"/>
  <c r="U24" i="27"/>
  <c r="T53" i="27"/>
  <c r="T55" i="27" s="1"/>
  <c r="R54" i="28"/>
  <c r="R55" i="28" s="1"/>
  <c r="R63" i="28"/>
  <c r="R64" i="28" s="1"/>
  <c r="R65" i="28" s="1"/>
  <c r="U55" i="27" l="1"/>
  <c r="U57" i="27" s="1"/>
  <c r="T57" i="27"/>
  <c r="T7" i="28" s="1"/>
  <c r="S63" i="28"/>
  <c r="S64" i="28" s="1"/>
  <c r="S65" i="28" s="1"/>
  <c r="S54" i="28"/>
  <c r="S55" i="28" s="1"/>
  <c r="U53" i="27"/>
  <c r="T50" i="28"/>
  <c r="U48" i="28"/>
  <c r="S55" i="32"/>
  <c r="S57" i="32" s="1"/>
  <c r="U53" i="32"/>
  <c r="U55" i="32" s="1"/>
  <c r="U57" i="32" s="1"/>
  <c r="W54" i="27" l="1"/>
  <c r="V54" i="27"/>
  <c r="Y54" i="27"/>
  <c r="Z54" i="27" s="1"/>
  <c r="X54" i="27"/>
  <c r="T54" i="32"/>
  <c r="T55" i="32" s="1"/>
  <c r="S58" i="32"/>
  <c r="T53" i="28"/>
  <c r="U50" i="28"/>
  <c r="Z54" i="32"/>
  <c r="V54" i="32"/>
  <c r="U58" i="32"/>
  <c r="T58" i="32" l="1"/>
  <c r="T57" i="32"/>
  <c r="U7" i="28"/>
  <c r="T16" i="28"/>
  <c r="T54" i="28"/>
  <c r="U54" i="28" s="1"/>
  <c r="U53" i="28"/>
  <c r="U59" i="1" s="1"/>
  <c r="T63" i="28"/>
  <c r="T64" i="28" l="1"/>
  <c r="U63" i="28"/>
  <c r="U16" i="28"/>
  <c r="T23" i="28"/>
  <c r="T65" i="28" l="1"/>
  <c r="U65" i="28" s="1"/>
  <c r="U61" i="1" s="1"/>
  <c r="U64" i="28"/>
  <c r="U60" i="1" s="1"/>
  <c r="U23" i="28"/>
  <c r="U55" i="28" s="1"/>
  <c r="T55" i="28"/>
  <c r="V48" i="28"/>
  <c r="V50" i="28" s="1"/>
  <c r="V53" i="28" s="1"/>
  <c r="V63" i="28" s="1"/>
  <c r="V64" i="28" s="1"/>
  <c r="V6" i="27"/>
  <c r="V6" i="32" s="1"/>
  <c r="W6" i="27" l="1"/>
  <c r="W6" i="32" s="1"/>
  <c r="W24" i="32" s="1"/>
  <c r="W53" i="32" s="1"/>
  <c r="V24" i="32"/>
  <c r="W37" i="1"/>
  <c r="W36" i="1"/>
  <c r="Y36" i="1"/>
  <c r="Y37" i="1"/>
  <c r="X36" i="1"/>
  <c r="X37" i="1"/>
  <c r="V24" i="27"/>
  <c r="V53" i="27" s="1"/>
  <c r="V54" i="28"/>
  <c r="W48" i="28"/>
  <c r="V37" i="1"/>
  <c r="V36" i="1"/>
  <c r="V55" i="27" l="1"/>
  <c r="V57" i="27" s="1"/>
  <c r="V7" i="28" s="1"/>
  <c r="V16" i="28" s="1"/>
  <c r="V23" i="28" s="1"/>
  <c r="V55" i="28" s="1"/>
  <c r="W24" i="27"/>
  <c r="W53" i="27" s="1"/>
  <c r="X6" i="27"/>
  <c r="X24" i="27" s="1"/>
  <c r="X53" i="27" s="1"/>
  <c r="V53" i="32"/>
  <c r="X48" i="28"/>
  <c r="W50" i="28"/>
  <c r="W53" i="28" s="1"/>
  <c r="Z37" i="1"/>
  <c r="Z36" i="1"/>
  <c r="V65" i="28" l="1"/>
  <c r="W55" i="27"/>
  <c r="W57" i="27" s="1"/>
  <c r="W7" i="28" s="1"/>
  <c r="W16" i="28" s="1"/>
  <c r="W23" i="28" s="1"/>
  <c r="X55" i="27"/>
  <c r="X57" i="27" s="1"/>
  <c r="X7" i="28" s="1"/>
  <c r="X16" i="28" s="1"/>
  <c r="X23" i="28" s="1"/>
  <c r="Y6" i="27"/>
  <c r="Z6" i="27" s="1"/>
  <c r="X6" i="32"/>
  <c r="X24" i="32" s="1"/>
  <c r="X50" i="28"/>
  <c r="X53" i="28" s="1"/>
  <c r="Y48" i="28"/>
  <c r="V55" i="32"/>
  <c r="V57" i="32" s="1"/>
  <c r="W54" i="28"/>
  <c r="W63" i="28"/>
  <c r="W64" i="28" s="1"/>
  <c r="W65" i="28" l="1"/>
  <c r="W55" i="28"/>
  <c r="Y6" i="32"/>
  <c r="Y24" i="32" s="1"/>
  <c r="Y53" i="32" s="1"/>
  <c r="Y24" i="27"/>
  <c r="Z24" i="27" s="1"/>
  <c r="W54" i="32"/>
  <c r="W55" i="32" s="1"/>
  <c r="W57" i="32" s="1"/>
  <c r="V58" i="32"/>
  <c r="X54" i="28"/>
  <c r="X55" i="28" s="1"/>
  <c r="X63" i="28"/>
  <c r="X64" i="28" s="1"/>
  <c r="X65" i="28" s="1"/>
  <c r="X53" i="32"/>
  <c r="Z48" i="28"/>
  <c r="Y50" i="28"/>
  <c r="Z6" i="32" l="1"/>
  <c r="Z24" i="32"/>
  <c r="Y53" i="27"/>
  <c r="Y55" i="27" s="1"/>
  <c r="X54" i="32"/>
  <c r="X55" i="32" s="1"/>
  <c r="X57" i="32" s="1"/>
  <c r="W58" i="32"/>
  <c r="Z53" i="32"/>
  <c r="Z55" i="32" s="1"/>
  <c r="Z57" i="32" s="1"/>
  <c r="Z50" i="28"/>
  <c r="Y53" i="28"/>
  <c r="Y57" i="27" l="1"/>
  <c r="Y7" i="28" s="1"/>
  <c r="Z55" i="27"/>
  <c r="Z57" i="27" s="1"/>
  <c r="Z53" i="27"/>
  <c r="Y54" i="32"/>
  <c r="Y55" i="32" s="1"/>
  <c r="X58" i="32"/>
  <c r="AE54" i="32"/>
  <c r="AA54" i="32"/>
  <c r="Y54" i="28"/>
  <c r="Z54" i="28" s="1"/>
  <c r="Z53" i="28"/>
  <c r="Y63" i="28"/>
  <c r="Z59" i="1" l="1"/>
  <c r="AE59" i="1"/>
  <c r="AC54" i="27"/>
  <c r="AB54" i="27"/>
  <c r="AA54" i="27"/>
  <c r="AD54" i="27"/>
  <c r="AE54" i="27" s="1"/>
  <c r="Z58" i="32"/>
  <c r="Y58" i="32"/>
  <c r="Y57" i="32"/>
  <c r="Z63" i="28"/>
  <c r="Y64" i="28"/>
  <c r="Z7" i="28"/>
  <c r="Y16" i="28"/>
  <c r="Z16" i="28" l="1"/>
  <c r="Y23" i="28"/>
  <c r="Y65" i="28"/>
  <c r="Z65" i="28" s="1"/>
  <c r="Z61" i="1" s="1"/>
  <c r="Z64" i="28"/>
  <c r="Z60" i="1" l="1"/>
  <c r="AE60" i="1"/>
  <c r="Z23" i="28"/>
  <c r="Z55" i="28" s="1"/>
  <c r="Y55" i="28"/>
  <c r="AB37" i="1"/>
  <c r="AD37" i="1"/>
  <c r="AC36" i="1"/>
  <c r="AC37" i="1"/>
  <c r="AD36" i="1"/>
  <c r="AA6" i="27"/>
  <c r="AB6" i="27" s="1"/>
  <c r="AB36" i="1"/>
  <c r="AA37" i="1"/>
  <c r="AA48" i="28"/>
  <c r="AB48" i="28" s="1"/>
  <c r="AB50" i="28" s="1"/>
  <c r="AB53" i="28" s="1"/>
  <c r="AA50" i="28" l="1"/>
  <c r="AA53" i="28" s="1"/>
  <c r="AB24" i="27"/>
  <c r="AB53" i="27" s="1"/>
  <c r="AB6" i="32"/>
  <c r="AB24" i="32" s="1"/>
  <c r="AB53" i="32" s="1"/>
  <c r="AA24" i="27"/>
  <c r="AA53" i="27" s="1"/>
  <c r="AA6" i="32"/>
  <c r="AB54" i="28"/>
  <c r="AB63" i="28"/>
  <c r="AB64" i="28" s="1"/>
  <c r="AC6" i="27"/>
  <c r="AA36" i="1"/>
  <c r="AA55" i="27" l="1"/>
  <c r="AA57" i="27" s="1"/>
  <c r="AA7" i="28" s="1"/>
  <c r="AA16" i="28" s="1"/>
  <c r="AA23" i="28" s="1"/>
  <c r="AB55" i="27"/>
  <c r="AB57" i="27" s="1"/>
  <c r="AB7" i="28" s="1"/>
  <c r="AB65" i="28" s="1"/>
  <c r="AA54" i="28"/>
  <c r="AA63" i="28"/>
  <c r="AA64" i="28" s="1"/>
  <c r="AE36" i="1"/>
  <c r="AE37" i="1"/>
  <c r="AC6" i="32"/>
  <c r="AC24" i="32" s="1"/>
  <c r="AC53" i="32" s="1"/>
  <c r="AC24" i="27"/>
  <c r="AC53" i="27" s="1"/>
  <c r="AC55" i="27" s="1"/>
  <c r="AC57" i="27" s="1"/>
  <c r="AC7" i="28" s="1"/>
  <c r="AD6" i="27"/>
  <c r="AA24" i="32"/>
  <c r="AA65" i="28" l="1"/>
  <c r="AB16" i="28"/>
  <c r="AB23" i="28" s="1"/>
  <c r="AB55" i="28" s="1"/>
  <c r="AA55" i="28"/>
  <c r="AA53" i="32"/>
  <c r="AD6" i="32"/>
  <c r="AD24" i="27"/>
  <c r="AE6" i="27"/>
  <c r="AC16" i="28"/>
  <c r="AC23" i="28" s="1"/>
  <c r="AC55" i="28" s="1"/>
  <c r="AC65" i="28"/>
  <c r="AE24" i="27" l="1"/>
  <c r="AD53" i="27"/>
  <c r="AD55" i="27" s="1"/>
  <c r="AD24" i="32"/>
  <c r="AE6" i="32"/>
  <c r="AA55" i="32"/>
  <c r="AA57" i="32" s="1"/>
  <c r="AD57" i="27" l="1"/>
  <c r="AD7" i="28" s="1"/>
  <c r="AE55" i="27"/>
  <c r="AE57" i="27" s="1"/>
  <c r="AB54" i="32"/>
  <c r="AB55" i="32" s="1"/>
  <c r="AB57" i="32" s="1"/>
  <c r="AA58" i="32"/>
  <c r="AD53" i="32"/>
  <c r="AE24" i="32"/>
  <c r="AE53" i="27"/>
  <c r="AG54" i="27" l="1"/>
  <c r="AI54" i="27"/>
  <c r="AJ54" i="27" s="1"/>
  <c r="AH54" i="27"/>
  <c r="AF54" i="27"/>
  <c r="AC54" i="32"/>
  <c r="AC55" i="32" s="1"/>
  <c r="AC57" i="32" s="1"/>
  <c r="AB58" i="32"/>
  <c r="AE53" i="32"/>
  <c r="AE55" i="32" s="1"/>
  <c r="AE57" i="32" s="1"/>
  <c r="AE58" i="32" l="1"/>
  <c r="AD54" i="32"/>
  <c r="AD55" i="32" s="1"/>
  <c r="AC58" i="32"/>
  <c r="AD65" i="28"/>
  <c r="AE65" i="28" s="1"/>
  <c r="AE61" i="1" s="1"/>
  <c r="AD16" i="28"/>
  <c r="AE7" i="28"/>
  <c r="AJ54" i="32"/>
  <c r="AF54" i="32"/>
  <c r="AD58" i="32" l="1"/>
  <c r="AD57" i="32"/>
  <c r="AE16" i="28"/>
  <c r="AD23" i="28"/>
  <c r="AD55" i="28" l="1"/>
  <c r="AE23" i="28"/>
  <c r="AE55" i="28" s="1"/>
  <c r="AI37" i="1"/>
  <c r="AF36" i="1"/>
  <c r="AF37" i="1"/>
  <c r="AI36" i="1"/>
  <c r="AH36" i="1"/>
  <c r="AG48" i="28"/>
  <c r="AH48" i="28" s="1"/>
  <c r="AH50" i="28" s="1"/>
  <c r="AH53" i="28" s="1"/>
  <c r="AF6" i="27"/>
  <c r="AF6" i="32" s="1"/>
  <c r="AF24" i="27" l="1"/>
  <c r="AF53" i="27" s="1"/>
  <c r="AG50" i="28"/>
  <c r="AG53" i="28" s="1"/>
  <c r="AG54" i="28" s="1"/>
  <c r="AH54" i="28"/>
  <c r="AH63" i="28"/>
  <c r="AH64" i="28" s="1"/>
  <c r="AG6" i="27"/>
  <c r="AG37" i="1"/>
  <c r="AG36" i="1"/>
  <c r="AF24" i="32"/>
  <c r="AH37" i="1"/>
  <c r="AF55" i="27" l="1"/>
  <c r="AF57" i="27" s="1"/>
  <c r="AF7" i="28" s="1"/>
  <c r="AF16" i="28" s="1"/>
  <c r="AF23" i="28" s="1"/>
  <c r="AF55" i="28" s="1"/>
  <c r="AG63" i="28"/>
  <c r="AG64" i="28" s="1"/>
  <c r="AF53" i="32"/>
  <c r="AJ37" i="1"/>
  <c r="AJ36" i="1"/>
  <c r="AG6" i="32"/>
  <c r="AH6" i="27"/>
  <c r="AG24" i="27"/>
  <c r="AG53" i="27" s="1"/>
  <c r="AF65" i="28" l="1"/>
  <c r="AG55" i="27"/>
  <c r="AG57" i="27" s="1"/>
  <c r="AG7" i="28" s="1"/>
  <c r="AG16" i="28" s="1"/>
  <c r="AG23" i="28" s="1"/>
  <c r="AG55" i="28" s="1"/>
  <c r="AF55" i="32"/>
  <c r="AF57" i="32" s="1"/>
  <c r="AH24" i="27"/>
  <c r="AH53" i="27" s="1"/>
  <c r="AH55" i="27" s="1"/>
  <c r="AH57" i="27" s="1"/>
  <c r="AH7" i="28" s="1"/>
  <c r="AH6" i="32"/>
  <c r="AH24" i="32" s="1"/>
  <c r="AH53" i="32" s="1"/>
  <c r="AI6" i="27"/>
  <c r="AG24" i="32"/>
  <c r="AG65" i="28" l="1"/>
  <c r="AG54" i="32"/>
  <c r="AF58" i="32"/>
  <c r="AH16" i="28"/>
  <c r="AH23" i="28" s="1"/>
  <c r="AH55" i="28" s="1"/>
  <c r="AH65" i="28"/>
  <c r="AG53" i="32"/>
  <c r="AJ6" i="27"/>
  <c r="AI24" i="27"/>
  <c r="AI6" i="32"/>
  <c r="AI24" i="32" s="1"/>
  <c r="AI53" i="32" s="1"/>
  <c r="AJ24" i="27" l="1"/>
  <c r="AI53" i="27"/>
  <c r="AI55" i="27" s="1"/>
  <c r="AJ24" i="32"/>
  <c r="AJ6" i="32"/>
  <c r="AG55" i="32"/>
  <c r="AG57" i="32" s="1"/>
  <c r="AJ53" i="32"/>
  <c r="AJ55" i="32" s="1"/>
  <c r="AJ57" i="32" s="1"/>
  <c r="AJ55" i="27" l="1"/>
  <c r="AJ57" i="27" s="1"/>
  <c r="AI57" i="27"/>
  <c r="AI7" i="28" s="1"/>
  <c r="AH54" i="32"/>
  <c r="AH55" i="32" s="1"/>
  <c r="AH57" i="32" s="1"/>
  <c r="AG58" i="32"/>
  <c r="AJ53" i="27"/>
  <c r="AO54" i="32"/>
  <c r="AK54" i="32"/>
  <c r="AL54" i="27" l="1"/>
  <c r="AN54" i="27"/>
  <c r="AO54" i="27" s="1"/>
  <c r="AK54" i="27"/>
  <c r="AM54" i="27"/>
  <c r="AI54" i="32"/>
  <c r="AI55" i="32" s="1"/>
  <c r="AH58" i="32"/>
  <c r="AJ58" i="32"/>
  <c r="AI58" i="32" l="1"/>
  <c r="AI57" i="32"/>
  <c r="AJ7" i="28"/>
  <c r="AI65" i="28"/>
  <c r="AJ65" i="28" s="1"/>
  <c r="AJ61" i="1" s="1"/>
  <c r="AI16" i="28"/>
  <c r="AJ16" i="28" l="1"/>
  <c r="AI23" i="28"/>
  <c r="AI55" i="28" l="1"/>
  <c r="AJ23" i="28"/>
  <c r="AJ55" i="28" s="1"/>
  <c r="AK36" i="1"/>
  <c r="AN36" i="1"/>
  <c r="AL36" i="1"/>
  <c r="AM37" i="1"/>
  <c r="AK37" i="1"/>
  <c r="AK48" i="28"/>
  <c r="AK50" i="28" s="1"/>
  <c r="AK53" i="28" s="1"/>
  <c r="AM36" i="1"/>
  <c r="AL37" i="1"/>
  <c r="AK6" i="27"/>
  <c r="AL6" i="27" s="1"/>
  <c r="AM6" i="27" l="1"/>
  <c r="AL24" i="27"/>
  <c r="AL53" i="27" s="1"/>
  <c r="AL6" i="32"/>
  <c r="AL24" i="32" s="1"/>
  <c r="AL53" i="32" s="1"/>
  <c r="AK54" i="28"/>
  <c r="AK63" i="28"/>
  <c r="AK64" i="28" s="1"/>
  <c r="AL48" i="28"/>
  <c r="AL50" i="28" s="1"/>
  <c r="AL53" i="28" s="1"/>
  <c r="AN37" i="1"/>
  <c r="AK6" i="32"/>
  <c r="AK24" i="27"/>
  <c r="AK53" i="27" s="1"/>
  <c r="AK55" i="27" l="1"/>
  <c r="AK57" i="27" s="1"/>
  <c r="AK7" i="28" s="1"/>
  <c r="AK16" i="28" s="1"/>
  <c r="AK23" i="28" s="1"/>
  <c r="AK55" i="28" s="1"/>
  <c r="AL55" i="27"/>
  <c r="AL57" i="27" s="1"/>
  <c r="AL7" i="28" s="1"/>
  <c r="AL16" i="28" s="1"/>
  <c r="AL23" i="28" s="1"/>
  <c r="AM48" i="28"/>
  <c r="AM50" i="28" s="1"/>
  <c r="AM53" i="28" s="1"/>
  <c r="AM54" i="28" s="1"/>
  <c r="AO36" i="1"/>
  <c r="AO37" i="1"/>
  <c r="AL54" i="28"/>
  <c r="AL63" i="28"/>
  <c r="AL64" i="28" s="1"/>
  <c r="AK24" i="32"/>
  <c r="AM6" i="32"/>
  <c r="AM24" i="32" s="1"/>
  <c r="AM53" i="32" s="1"/>
  <c r="AN6" i="27"/>
  <c r="AM24" i="27"/>
  <c r="AM53" i="27" s="1"/>
  <c r="AK65" i="28" l="1"/>
  <c r="AL65" i="28"/>
  <c r="AM55" i="27"/>
  <c r="AM57" i="27" s="1"/>
  <c r="AM7" i="28" s="1"/>
  <c r="AM16" i="28" s="1"/>
  <c r="AM23" i="28" s="1"/>
  <c r="AM55" i="28" s="1"/>
  <c r="AL55" i="28"/>
  <c r="AM63" i="28"/>
  <c r="AM64" i="28" s="1"/>
  <c r="AN48" i="28"/>
  <c r="AO48" i="28" s="1"/>
  <c r="AO6" i="27"/>
  <c r="AN24" i="27"/>
  <c r="AN6" i="32"/>
  <c r="AK53" i="32"/>
  <c r="AM65" i="28" l="1"/>
  <c r="AN50" i="28"/>
  <c r="AO50" i="28" s="1"/>
  <c r="AK55" i="32"/>
  <c r="AK57" i="32" s="1"/>
  <c r="AN24" i="32"/>
  <c r="AO6" i="32"/>
  <c r="AO24" i="27"/>
  <c r="AN53" i="27"/>
  <c r="AN55" i="27" s="1"/>
  <c r="AN57" i="27" l="1"/>
  <c r="AN7" i="28" s="1"/>
  <c r="AO55" i="27"/>
  <c r="AO57" i="27" s="1"/>
  <c r="AN53" i="28"/>
  <c r="AN54" i="28" s="1"/>
  <c r="AO54" i="28" s="1"/>
  <c r="AL54" i="32"/>
  <c r="AL55" i="32" s="1"/>
  <c r="AL57" i="32" s="1"/>
  <c r="AK58" i="32"/>
  <c r="AO53" i="27"/>
  <c r="AN53" i="32"/>
  <c r="AO24" i="32"/>
  <c r="AS54" i="27" l="1"/>
  <c r="AT54" i="27" s="1"/>
  <c r="AR54" i="27"/>
  <c r="AP54" i="27"/>
  <c r="AQ54" i="27"/>
  <c r="AO53" i="28"/>
  <c r="AO59" i="1" s="1"/>
  <c r="AN63" i="28"/>
  <c r="AN64" i="28" s="1"/>
  <c r="AM54" i="32"/>
  <c r="AM55" i="32" s="1"/>
  <c r="AM57" i="32" s="1"/>
  <c r="AL58" i="32"/>
  <c r="AO53" i="32"/>
  <c r="AO55" i="32" s="1"/>
  <c r="AO57" i="32" s="1"/>
  <c r="AO63" i="28" l="1"/>
  <c r="AO58" i="32"/>
  <c r="AN54" i="32"/>
  <c r="AN55" i="32" s="1"/>
  <c r="AM58" i="32"/>
  <c r="AP54" i="32"/>
  <c r="AT54" i="32"/>
  <c r="AN16" i="28"/>
  <c r="AO7" i="28"/>
  <c r="AN65" i="28"/>
  <c r="AO65" i="28" s="1"/>
  <c r="AO61" i="1" s="1"/>
  <c r="AO64" i="28"/>
  <c r="AO60" i="1" s="1"/>
  <c r="AN58" i="32" l="1"/>
  <c r="AN57" i="32"/>
  <c r="AO16" i="28"/>
  <c r="AN23" i="28"/>
  <c r="AN55" i="28" l="1"/>
  <c r="AO23" i="28"/>
  <c r="AO55" i="28" s="1"/>
  <c r="AS36" i="1"/>
  <c r="AQ36" i="1"/>
  <c r="AQ37" i="1"/>
  <c r="AP6" i="27"/>
  <c r="AQ6" i="27" s="1"/>
  <c r="AR6" i="27" s="1"/>
  <c r="AS37" i="1"/>
  <c r="AR36" i="1"/>
  <c r="AR24" i="27" l="1"/>
  <c r="AR53" i="27" s="1"/>
  <c r="AR55" i="27" s="1"/>
  <c r="AR57" i="27" s="1"/>
  <c r="AR7" i="28" s="1"/>
  <c r="AR6" i="32"/>
  <c r="AR24" i="32" s="1"/>
  <c r="AR53" i="32" s="1"/>
  <c r="AS6" i="27"/>
  <c r="AT6" i="27" s="1"/>
  <c r="AP24" i="27"/>
  <c r="AP53" i="27" s="1"/>
  <c r="AP55" i="27" s="1"/>
  <c r="AP57" i="27" s="1"/>
  <c r="AP7" i="28" s="1"/>
  <c r="AP6" i="32"/>
  <c r="AQ6" i="32"/>
  <c r="AQ24" i="32" s="1"/>
  <c r="AQ53" i="32" s="1"/>
  <c r="AQ24" i="27"/>
  <c r="AQ53" i="27" s="1"/>
  <c r="AQ55" i="27" s="1"/>
  <c r="AQ57" i="27" s="1"/>
  <c r="AQ7" i="28" s="1"/>
  <c r="AT36" i="1"/>
  <c r="AT37" i="1"/>
  <c r="AR37" i="1"/>
  <c r="AP36" i="1"/>
  <c r="AP37" i="1"/>
  <c r="AP48" i="28"/>
  <c r="AR16" i="28" l="1"/>
  <c r="AR23" i="28" s="1"/>
  <c r="AP16" i="28"/>
  <c r="AP23" i="28" s="1"/>
  <c r="AQ16" i="28"/>
  <c r="AQ23" i="28" s="1"/>
  <c r="AS6" i="32"/>
  <c r="AS24" i="32" s="1"/>
  <c r="AS53" i="32" s="1"/>
  <c r="AS24" i="27"/>
  <c r="AS53" i="27" s="1"/>
  <c r="AS55" i="27" s="1"/>
  <c r="AT55" i="27" s="1"/>
  <c r="AP24" i="32"/>
  <c r="AQ48" i="28"/>
  <c r="AP50" i="28"/>
  <c r="AP53" i="28" s="1"/>
  <c r="AT57" i="27" l="1"/>
  <c r="AS57" i="27"/>
  <c r="AS7" i="28" s="1"/>
  <c r="AS16" i="28" s="1"/>
  <c r="AT6" i="32"/>
  <c r="AT24" i="27"/>
  <c r="AQ50" i="28"/>
  <c r="AQ53" i="28" s="1"/>
  <c r="AR48" i="28"/>
  <c r="AT53" i="27"/>
  <c r="AP63" i="28"/>
  <c r="AP64" i="28" s="1"/>
  <c r="AP65" i="28" s="1"/>
  <c r="AP54" i="28"/>
  <c r="AP55" i="28" s="1"/>
  <c r="AT24" i="32"/>
  <c r="AP53" i="32"/>
  <c r="AV54" i="27" l="1"/>
  <c r="AU54" i="27"/>
  <c r="AX54" i="27"/>
  <c r="AY54" i="27" s="1"/>
  <c r="AW54" i="27"/>
  <c r="AR50" i="28"/>
  <c r="AR53" i="28" s="1"/>
  <c r="AS48" i="28"/>
  <c r="AP55" i="32"/>
  <c r="AP57" i="32" s="1"/>
  <c r="AT53" i="32"/>
  <c r="AT55" i="32" s="1"/>
  <c r="AT57" i="32" s="1"/>
  <c r="AQ63" i="28"/>
  <c r="AQ64" i="28" s="1"/>
  <c r="AQ65" i="28" s="1"/>
  <c r="AQ54" i="28"/>
  <c r="AQ55" i="28" s="1"/>
  <c r="AT58" i="32" l="1"/>
  <c r="AQ54" i="32"/>
  <c r="AQ55" i="32" s="1"/>
  <c r="AQ57" i="32" s="1"/>
  <c r="AP58" i="32"/>
  <c r="AS50" i="28"/>
  <c r="AT48" i="28"/>
  <c r="AR54" i="28"/>
  <c r="AR55" i="28" s="1"/>
  <c r="AR63" i="28"/>
  <c r="AR64" i="28" s="1"/>
  <c r="AR65" i="28" s="1"/>
  <c r="AU54" i="32"/>
  <c r="AY54" i="32"/>
  <c r="AT7" i="28"/>
  <c r="AT16" i="28" s="1"/>
  <c r="AW55" i="27" l="1"/>
  <c r="AW57" i="27" s="1"/>
  <c r="AW7" i="28" s="1"/>
  <c r="AR54" i="32"/>
  <c r="AR55" i="32" s="1"/>
  <c r="AR57" i="32" s="1"/>
  <c r="AQ58" i="32"/>
  <c r="AS23" i="28"/>
  <c r="AS53" i="28"/>
  <c r="AT50" i="28"/>
  <c r="AS54" i="32" l="1"/>
  <c r="AS55" i="32" s="1"/>
  <c r="AR58" i="32"/>
  <c r="AT23" i="28"/>
  <c r="AT53" i="28"/>
  <c r="AT59" i="1" s="1"/>
  <c r="AS54" i="28"/>
  <c r="AT54" i="28" s="1"/>
  <c r="AS63" i="28"/>
  <c r="AS58" i="32" l="1"/>
  <c r="AS57" i="32"/>
  <c r="AW16" i="28"/>
  <c r="AW23" i="28" s="1"/>
  <c r="AW55" i="28" s="1"/>
  <c r="AW65" i="28"/>
  <c r="AS55" i="28"/>
  <c r="AS64" i="28"/>
  <c r="AT63" i="28"/>
  <c r="AT55" i="28"/>
  <c r="AS65" i="28" l="1"/>
  <c r="AT65" i="28" s="1"/>
  <c r="AT61" i="1" s="1"/>
  <c r="AT64" i="28"/>
  <c r="AT60" i="1" s="1"/>
  <c r="AU36" i="1" l="1"/>
  <c r="AX37" i="1"/>
  <c r="AX36" i="1"/>
  <c r="AW37" i="1"/>
  <c r="AV37" i="1"/>
  <c r="AX6" i="27"/>
  <c r="AY6" i="27" s="1"/>
  <c r="AU48" i="28"/>
  <c r="AU50" i="28" s="1"/>
  <c r="AU53" i="28" s="1"/>
  <c r="AX48" i="28"/>
  <c r="AY48" i="28" s="1"/>
  <c r="AU6" i="27"/>
  <c r="AU6" i="32" s="1"/>
  <c r="AU24" i="32" s="1"/>
  <c r="AU24" i="27" l="1"/>
  <c r="AU53" i="27" s="1"/>
  <c r="AV6" i="27"/>
  <c r="AV24" i="27" s="1"/>
  <c r="AV53" i="27" s="1"/>
  <c r="AX24" i="27"/>
  <c r="AX6" i="32"/>
  <c r="AX24" i="32" s="1"/>
  <c r="AX53" i="32" s="1"/>
  <c r="AX50" i="28"/>
  <c r="AY50" i="28" s="1"/>
  <c r="AU54" i="28"/>
  <c r="AU63" i="28"/>
  <c r="AU64" i="28" s="1"/>
  <c r="AU53" i="32"/>
  <c r="AY37" i="1"/>
  <c r="AY36" i="1"/>
  <c r="AV48" i="28"/>
  <c r="AV50" i="28" s="1"/>
  <c r="AV53" i="28" s="1"/>
  <c r="AV36" i="1"/>
  <c r="AW36" i="1"/>
  <c r="AU37" i="1"/>
  <c r="AU55" i="27" l="1"/>
  <c r="AU57" i="27" s="1"/>
  <c r="AU7" i="28" s="1"/>
  <c r="AU65" i="28" s="1"/>
  <c r="AV55" i="27"/>
  <c r="AV57" i="27" s="1"/>
  <c r="AV7" i="28" s="1"/>
  <c r="AV16" i="28" s="1"/>
  <c r="AV23" i="28" s="1"/>
  <c r="AW6" i="32"/>
  <c r="AW24" i="32" s="1"/>
  <c r="AW53" i="32" s="1"/>
  <c r="AV6" i="32"/>
  <c r="AV24" i="32" s="1"/>
  <c r="AV53" i="32" s="1"/>
  <c r="AX53" i="28"/>
  <c r="AY24" i="27"/>
  <c r="AX53" i="27"/>
  <c r="AX55" i="27" s="1"/>
  <c r="AV54" i="28"/>
  <c r="AV63" i="28"/>
  <c r="AV64" i="28" s="1"/>
  <c r="AU55" i="32"/>
  <c r="AU57" i="32" s="1"/>
  <c r="AV65" i="28" l="1"/>
  <c r="AU16" i="28"/>
  <c r="AU23" i="28" s="1"/>
  <c r="AU55" i="28" s="1"/>
  <c r="AV55" i="28"/>
  <c r="AY55" i="27"/>
  <c r="AY57" i="27" s="1"/>
  <c r="AX57" i="27"/>
  <c r="AX7" i="28" s="1"/>
  <c r="AY53" i="32"/>
  <c r="AY55" i="32" s="1"/>
  <c r="AY24" i="32"/>
  <c r="AY6" i="32"/>
  <c r="AV54" i="32"/>
  <c r="AV55" i="32" s="1"/>
  <c r="AV57" i="32" s="1"/>
  <c r="AU58" i="32"/>
  <c r="AY53" i="28"/>
  <c r="AY59" i="1" s="1"/>
  <c r="AX63" i="28"/>
  <c r="AX64" i="28" s="1"/>
  <c r="AX54" i="28"/>
  <c r="AY54" i="28" s="1"/>
  <c r="AY53" i="27"/>
  <c r="AZ54" i="27" l="1"/>
  <c r="BC54" i="27"/>
  <c r="BD54" i="27" s="1"/>
  <c r="BB54" i="27"/>
  <c r="BA54" i="27"/>
  <c r="AZ54" i="32"/>
  <c r="AY57" i="32"/>
  <c r="BD54" i="32"/>
  <c r="AY63" i="28"/>
  <c r="AW54" i="32"/>
  <c r="AW55" i="32" s="1"/>
  <c r="AW57" i="32" s="1"/>
  <c r="AV58" i="32"/>
  <c r="AX65" i="28"/>
  <c r="AY65" i="28" s="1"/>
  <c r="AY61" i="1" s="1"/>
  <c r="AY58" i="32"/>
  <c r="AY64" i="28"/>
  <c r="AY60" i="1" s="1"/>
  <c r="AX54" i="32" l="1"/>
  <c r="AX55" i="32" s="1"/>
  <c r="AW58" i="32"/>
  <c r="BC55" i="27"/>
  <c r="AY7" i="28"/>
  <c r="AX16" i="28"/>
  <c r="AX58" i="32" l="1"/>
  <c r="AX57" i="32"/>
  <c r="BC57" i="27"/>
  <c r="BC7" i="28" s="1"/>
  <c r="BD55" i="27"/>
  <c r="BD57" i="27" s="1"/>
  <c r="AY16" i="28"/>
  <c r="AX23" i="28"/>
  <c r="AZ36" i="1"/>
  <c r="BC36" i="1"/>
  <c r="BA37" i="1"/>
  <c r="AZ6" i="27"/>
  <c r="BA6" i="27" s="1"/>
  <c r="BB36" i="1"/>
  <c r="AZ37" i="1"/>
  <c r="AZ48" i="28"/>
  <c r="AZ50" i="28" s="1"/>
  <c r="AZ53" i="28" s="1"/>
  <c r="BF54" i="27" l="1"/>
  <c r="BF55" i="27" s="1"/>
  <c r="BF57" i="27" s="1"/>
  <c r="BF7" i="28" s="1"/>
  <c r="BF16" i="28" s="1"/>
  <c r="BF23" i="28" s="1"/>
  <c r="BE54" i="27"/>
  <c r="BG54" i="27"/>
  <c r="BH54" i="27"/>
  <c r="BI54" i="27" s="1"/>
  <c r="AX55" i="28"/>
  <c r="AY23" i="28"/>
  <c r="AY55" i="28" s="1"/>
  <c r="BD7" i="28"/>
  <c r="BC16" i="28"/>
  <c r="BA24" i="27"/>
  <c r="BA53" i="27" s="1"/>
  <c r="BB6" i="27"/>
  <c r="BA6" i="32"/>
  <c r="BA24" i="32" s="1"/>
  <c r="BA53" i="32" s="1"/>
  <c r="AZ54" i="28"/>
  <c r="AZ63" i="28"/>
  <c r="AZ64" i="28" s="1"/>
  <c r="AZ24" i="27"/>
  <c r="AZ53" i="27" s="1"/>
  <c r="AZ6" i="32"/>
  <c r="BA36" i="1"/>
  <c r="BC37" i="1"/>
  <c r="BA48" i="28"/>
  <c r="BA50" i="28" s="1"/>
  <c r="BA53" i="28" s="1"/>
  <c r="BB37" i="1"/>
  <c r="BA55" i="27" l="1"/>
  <c r="BA57" i="27" s="1"/>
  <c r="BA7" i="28" s="1"/>
  <c r="BA16" i="28" s="1"/>
  <c r="BA23" i="28" s="1"/>
  <c r="AZ55" i="27"/>
  <c r="AZ57" i="27" s="1"/>
  <c r="AZ7" i="28" s="1"/>
  <c r="AZ16" i="28" s="1"/>
  <c r="AZ23" i="28" s="1"/>
  <c r="AZ55" i="28" s="1"/>
  <c r="BE55" i="27"/>
  <c r="BE57" i="27" s="1"/>
  <c r="BE7" i="28" s="1"/>
  <c r="BG55" i="27"/>
  <c r="BG57" i="27" s="1"/>
  <c r="BG7" i="28" s="1"/>
  <c r="BD16" i="28"/>
  <c r="BC23" i="28"/>
  <c r="BA54" i="28"/>
  <c r="BA63" i="28"/>
  <c r="BA64" i="28" s="1"/>
  <c r="BD37" i="1"/>
  <c r="BD36" i="1"/>
  <c r="AZ24" i="32"/>
  <c r="BB48" i="28"/>
  <c r="BB6" i="32"/>
  <c r="BB24" i="32" s="1"/>
  <c r="BB53" i="32" s="1"/>
  <c r="BC6" i="32"/>
  <c r="BC24" i="32" s="1"/>
  <c r="BC53" i="32" s="1"/>
  <c r="BB24" i="27"/>
  <c r="BB53" i="27" s="1"/>
  <c r="BA65" i="28" l="1"/>
  <c r="AZ65" i="28"/>
  <c r="BB55" i="27"/>
  <c r="BB57" i="27" s="1"/>
  <c r="BB7" i="28" s="1"/>
  <c r="BB16" i="28" s="1"/>
  <c r="BB23" i="28" s="1"/>
  <c r="BA55" i="28"/>
  <c r="BG16" i="28"/>
  <c r="BG23" i="28" s="1"/>
  <c r="BE16" i="28"/>
  <c r="BE23" i="28" s="1"/>
  <c r="BB50" i="28"/>
  <c r="BB53" i="28" s="1"/>
  <c r="BD23" i="28"/>
  <c r="BD24" i="32"/>
  <c r="AZ53" i="32"/>
  <c r="BD6" i="32"/>
  <c r="BB63" i="28" l="1"/>
  <c r="BB64" i="28" s="1"/>
  <c r="BB65" i="28" s="1"/>
  <c r="BB54" i="28"/>
  <c r="BB55" i="28" s="1"/>
  <c r="BC50" i="28"/>
  <c r="BD48" i="28"/>
  <c r="AZ55" i="32"/>
  <c r="AZ57" i="32" s="1"/>
  <c r="BD53" i="32"/>
  <c r="BD55" i="32" s="1"/>
  <c r="BI54" i="32" l="1"/>
  <c r="BD57" i="32"/>
  <c r="BE48" i="28"/>
  <c r="BC53" i="28"/>
  <c r="BD50" i="28"/>
  <c r="BD58" i="32"/>
  <c r="BE54" i="32"/>
  <c r="BE55" i="32" s="1"/>
  <c r="BE57" i="32" s="1"/>
  <c r="BA54" i="32"/>
  <c r="BA55" i="32" s="1"/>
  <c r="BA57" i="32" s="1"/>
  <c r="AZ58" i="32"/>
  <c r="BE50" i="28" l="1"/>
  <c r="BE53" i="28" s="1"/>
  <c r="BE63" i="28" s="1"/>
  <c r="BE64" i="28" s="1"/>
  <c r="BE65" i="28" s="1"/>
  <c r="BF48" i="28"/>
  <c r="BF54" i="32"/>
  <c r="BF55" i="32" s="1"/>
  <c r="BF57" i="32" s="1"/>
  <c r="BD53" i="28"/>
  <c r="BD59" i="1" s="1"/>
  <c r="BC63" i="28"/>
  <c r="BC54" i="28"/>
  <c r="BE58" i="32"/>
  <c r="BB54" i="32"/>
  <c r="BB55" i="32" s="1"/>
  <c r="BB57" i="32" s="1"/>
  <c r="BA58" i="32"/>
  <c r="BE54" i="28" l="1"/>
  <c r="BE55" i="28" s="1"/>
  <c r="BF50" i="28"/>
  <c r="BF53" i="28" s="1"/>
  <c r="BG48" i="28"/>
  <c r="BF58" i="32"/>
  <c r="BG54" i="32"/>
  <c r="BG55" i="32" s="1"/>
  <c r="BG57" i="32" s="1"/>
  <c r="BD54" i="28"/>
  <c r="BD55" i="28" s="1"/>
  <c r="BC55" i="28"/>
  <c r="BC64" i="28"/>
  <c r="BD63" i="28"/>
  <c r="BC54" i="32"/>
  <c r="BC55" i="32" s="1"/>
  <c r="BB58" i="32"/>
  <c r="BC58" i="32" l="1"/>
  <c r="BC57" i="32"/>
  <c r="BG58" i="32"/>
  <c r="BH54" i="32"/>
  <c r="BG50" i="28"/>
  <c r="BG53" i="28" s="1"/>
  <c r="BG54" i="28" s="1"/>
  <c r="BG55" i="28" s="1"/>
  <c r="BF54" i="28"/>
  <c r="BF55" i="28" s="1"/>
  <c r="BF63" i="28"/>
  <c r="BF64" i="28" s="1"/>
  <c r="BF65" i="28" s="1"/>
  <c r="BD64" i="28"/>
  <c r="BD60" i="1" s="1"/>
  <c r="BC65" i="28"/>
  <c r="BD65" i="28" s="1"/>
  <c r="BD61" i="1" s="1"/>
  <c r="BG63" i="28" l="1"/>
  <c r="BG64" i="28" s="1"/>
  <c r="BG65" i="28" s="1"/>
  <c r="AX76" i="29"/>
  <c r="AY76" i="29" s="1"/>
  <c r="AY77" i="29" l="1"/>
  <c r="AY81" i="29"/>
  <c r="AY79" i="29"/>
  <c r="AX81" i="29"/>
  <c r="AX79" i="29"/>
  <c r="AX77" i="29"/>
  <c r="BI21" i="27" l="1"/>
  <c r="BH21" i="32"/>
  <c r="BI21" i="32" s="1"/>
  <c r="BI22" i="28"/>
  <c r="BI51" i="27" l="1"/>
  <c r="BH51" i="32"/>
  <c r="BI51" i="32" s="1"/>
  <c r="BH14" i="29" l="1"/>
  <c r="BI42" i="27"/>
  <c r="BH42" i="32"/>
  <c r="BI42" i="32" s="1"/>
  <c r="BH76" i="29"/>
  <c r="BI43" i="27"/>
  <c r="BH43" i="32"/>
  <c r="BI43" i="32" s="1"/>
  <c r="BI14" i="29" l="1"/>
  <c r="BH78" i="29"/>
  <c r="BH77" i="29"/>
  <c r="BI76" i="29"/>
  <c r="BI77" i="29" l="1"/>
  <c r="BH79" i="29"/>
  <c r="BI78" i="29"/>
  <c r="BI79" i="29" l="1"/>
  <c r="BI33" i="28"/>
  <c r="BI32" i="28"/>
  <c r="BI31" i="28"/>
  <c r="BI30" i="28"/>
  <c r="BI15" i="27" l="1"/>
  <c r="BH15" i="32"/>
  <c r="BI15" i="32" s="1"/>
  <c r="BI46" i="28" l="1"/>
  <c r="BI49" i="28"/>
  <c r="BI52" i="28"/>
  <c r="BI45" i="28"/>
  <c r="BI37" i="28"/>
  <c r="BI34" i="28"/>
  <c r="BI21" i="28"/>
  <c r="BI20" i="28"/>
  <c r="BI19" i="28"/>
  <c r="BI18" i="28"/>
  <c r="BI15" i="28"/>
  <c r="BI14" i="28"/>
  <c r="BI8" i="28"/>
  <c r="BI9" i="28" l="1"/>
  <c r="BH67" i="28"/>
  <c r="BH61" i="28"/>
  <c r="BI61" i="28" s="1"/>
  <c r="BI38" i="28"/>
  <c r="BH59" i="28"/>
  <c r="BH35" i="28"/>
  <c r="BI27" i="28"/>
  <c r="BI44" i="28"/>
  <c r="BI29" i="28"/>
  <c r="BH69" i="28"/>
  <c r="BI20" i="27" l="1"/>
  <c r="BH20" i="32"/>
  <c r="BI20" i="32" s="1"/>
  <c r="BI59" i="28"/>
  <c r="BI19" i="27"/>
  <c r="BH19" i="32"/>
  <c r="BI19" i="32" s="1"/>
  <c r="BI61" i="27"/>
  <c r="BH61" i="32"/>
  <c r="BI61" i="32" s="1"/>
  <c r="BH39" i="28"/>
  <c r="BI35" i="28"/>
  <c r="BI28" i="28"/>
  <c r="BH60" i="28"/>
  <c r="BI60" i="28" s="1"/>
  <c r="BI13" i="27"/>
  <c r="BH13" i="32"/>
  <c r="BI13" i="32" s="1"/>
  <c r="BI16" i="27"/>
  <c r="BH16" i="32"/>
  <c r="BI16" i="32" s="1"/>
  <c r="BH70" i="28"/>
  <c r="BI11" i="27"/>
  <c r="BH11" i="32"/>
  <c r="BI11" i="32" s="1"/>
  <c r="BI18" i="27"/>
  <c r="BH18" i="32"/>
  <c r="BI18" i="32" s="1"/>
  <c r="BI60" i="27"/>
  <c r="BH60" i="32"/>
  <c r="BI60" i="32" s="1"/>
  <c r="BI44" i="27" l="1"/>
  <c r="BH44" i="32"/>
  <c r="BI40" i="27"/>
  <c r="BH40" i="32"/>
  <c r="BI40" i="32" s="1"/>
  <c r="BI27" i="27"/>
  <c r="BH35" i="27"/>
  <c r="BI35" i="27" s="1"/>
  <c r="BH27" i="32"/>
  <c r="BI38" i="27"/>
  <c r="BH49" i="27"/>
  <c r="BI49" i="27" s="1"/>
  <c r="BH38" i="32"/>
  <c r="BI38" i="32" s="1"/>
  <c r="BI34" i="27"/>
  <c r="BH34" i="32"/>
  <c r="BI34" i="32" s="1"/>
  <c r="BI32" i="27"/>
  <c r="BH32" i="32"/>
  <c r="BI32" i="32" s="1"/>
  <c r="BI31" i="27"/>
  <c r="BH31" i="32"/>
  <c r="BI31" i="32" s="1"/>
  <c r="BH80" i="29"/>
  <c r="BI41" i="27"/>
  <c r="BH41" i="32"/>
  <c r="BI29" i="27"/>
  <c r="BH29" i="32"/>
  <c r="BI29" i="32" s="1"/>
  <c r="BI39" i="27"/>
  <c r="BH39" i="32"/>
  <c r="BI39" i="32" s="1"/>
  <c r="BI30" i="27"/>
  <c r="BH30" i="32"/>
  <c r="BI30" i="32" s="1"/>
  <c r="BI8" i="27"/>
  <c r="BH8" i="32"/>
  <c r="BI8" i="32" s="1"/>
  <c r="BI39" i="28"/>
  <c r="BI44" i="32" l="1"/>
  <c r="BH66" i="32"/>
  <c r="BH66" i="27" s="1"/>
  <c r="BI66" i="27" s="1"/>
  <c r="BI65" i="27" s="1"/>
  <c r="BH81" i="29"/>
  <c r="BI80" i="29"/>
  <c r="BH35" i="32"/>
  <c r="BI35" i="32" s="1"/>
  <c r="BI27" i="32"/>
  <c r="BH49" i="32"/>
  <c r="BI49" i="32" s="1"/>
  <c r="BI41" i="32"/>
  <c r="BI81" i="29" l="1"/>
  <c r="BH65" i="27"/>
  <c r="BH65" i="32"/>
  <c r="BI66" i="32"/>
  <c r="BI65" i="32" s="1"/>
  <c r="BH67" i="32"/>
  <c r="BH67" i="27" s="1"/>
  <c r="BI67" i="27" s="1"/>
  <c r="BH6" i="27"/>
  <c r="BI67" i="32" l="1"/>
  <c r="BJ67" i="32" s="1"/>
  <c r="BH6" i="32"/>
  <c r="BI6" i="27"/>
  <c r="BH48" i="28"/>
  <c r="BJ67" i="27" l="1"/>
  <c r="BI48" i="28"/>
  <c r="BJ48" i="28" s="1"/>
  <c r="BK48" i="28" s="1"/>
  <c r="BK50" i="28" s="1"/>
  <c r="BK53" i="28" s="1"/>
  <c r="BH50" i="28"/>
  <c r="BI6" i="32"/>
  <c r="BK63" i="28" l="1"/>
  <c r="BK64" i="28" s="1"/>
  <c r="BK54" i="28"/>
  <c r="BJ50" i="28"/>
  <c r="BJ53" i="28" s="1"/>
  <c r="BH53" i="28"/>
  <c r="BI50" i="28"/>
  <c r="BJ63" i="28" l="1"/>
  <c r="BJ64" i="28" s="1"/>
  <c r="BJ54" i="28"/>
  <c r="BH63" i="28"/>
  <c r="BI53" i="28"/>
  <c r="BI59" i="1" s="1"/>
  <c r="BH54" i="28"/>
  <c r="BI54" i="28" s="1"/>
  <c r="BI63" i="28" l="1"/>
  <c r="BH64" i="28"/>
  <c r="BI64" i="28" l="1"/>
  <c r="BI60" i="1" s="1"/>
  <c r="BI22" i="27" l="1"/>
  <c r="BH22" i="32"/>
  <c r="BH24" i="27"/>
  <c r="BI23" i="27"/>
  <c r="BH23" i="32"/>
  <c r="BI23" i="32" s="1"/>
  <c r="BI24" i="27" l="1"/>
  <c r="BH53" i="27"/>
  <c r="BH55" i="27" s="1"/>
  <c r="BI22" i="32"/>
  <c r="BH24" i="32"/>
  <c r="BI55" i="27" l="1"/>
  <c r="BI57" i="27" s="1"/>
  <c r="BH57" i="27"/>
  <c r="BH7" i="28" s="1"/>
  <c r="BH53" i="32"/>
  <c r="BI24" i="32"/>
  <c r="BI53" i="27"/>
  <c r="BM54" i="27" l="1"/>
  <c r="BN54" i="27" s="1"/>
  <c r="BL54" i="27"/>
  <c r="BK54" i="27"/>
  <c r="BJ54" i="27"/>
  <c r="BI53" i="32"/>
  <c r="BI55" i="32" s="1"/>
  <c r="BI57" i="32" s="1"/>
  <c r="BH55" i="32"/>
  <c r="BH58" i="32" l="1"/>
  <c r="BH57" i="32"/>
  <c r="BK55" i="27"/>
  <c r="BJ55" i="27"/>
  <c r="BJ57" i="27" s="1"/>
  <c r="BJ7" i="28" s="1"/>
  <c r="BJ54" i="32"/>
  <c r="BJ55" i="32" s="1"/>
  <c r="BJ57" i="32" s="1"/>
  <c r="BN54" i="32"/>
  <c r="BI58" i="32"/>
  <c r="BI7" i="28"/>
  <c r="BH16" i="28"/>
  <c r="BH65" i="28"/>
  <c r="BI65" i="28" s="1"/>
  <c r="BI61" i="1" s="1"/>
  <c r="BK57" i="27" l="1"/>
  <c r="BK7" i="28" s="1"/>
  <c r="BK16" i="28" s="1"/>
  <c r="BK23" i="28" s="1"/>
  <c r="BK55" i="28" s="1"/>
  <c r="BJ58" i="32"/>
  <c r="BK54" i="32"/>
  <c r="BK55" i="32" s="1"/>
  <c r="BK57" i="32" s="1"/>
  <c r="BH23" i="28"/>
  <c r="BI16" i="28"/>
  <c r="BI14" i="25"/>
  <c r="BK65" i="28" l="1"/>
  <c r="BJ65" i="28"/>
  <c r="BJ16" i="28"/>
  <c r="BJ23" i="28" s="1"/>
  <c r="BJ55" i="28" s="1"/>
  <c r="BK58" i="32"/>
  <c r="BL54" i="32"/>
  <c r="BI23" i="28"/>
  <c r="BI55" i="28" s="1"/>
  <c r="BH55" i="28"/>
  <c r="BL10" i="28" l="1"/>
  <c r="BL68" i="28" l="1"/>
  <c r="BL15" i="32"/>
  <c r="BN15" i="32" s="1"/>
  <c r="BL60" i="28" l="1"/>
  <c r="BL51" i="32" l="1"/>
  <c r="BN51" i="32" s="1"/>
  <c r="BL43" i="32" l="1"/>
  <c r="BN43" i="32" s="1"/>
  <c r="BL61" i="32" l="1"/>
  <c r="BN61" i="32" s="1"/>
  <c r="BL60" i="32"/>
  <c r="BN60" i="32" s="1"/>
  <c r="BL44" i="32"/>
  <c r="BL42" i="32"/>
  <c r="BN42" i="32" s="1"/>
  <c r="BL41" i="32"/>
  <c r="BN41" i="32" s="1"/>
  <c r="BL40" i="32"/>
  <c r="BN40" i="32" s="1"/>
  <c r="BL39" i="32"/>
  <c r="BN39" i="32" s="1"/>
  <c r="BL34" i="32"/>
  <c r="BN34" i="32" s="1"/>
  <c r="BL32" i="32"/>
  <c r="BN32" i="32" s="1"/>
  <c r="BL31" i="32"/>
  <c r="BN31" i="32" s="1"/>
  <c r="BL30" i="32"/>
  <c r="BN30" i="32" s="1"/>
  <c r="BL29" i="32"/>
  <c r="BN29" i="32" s="1"/>
  <c r="BL23" i="32"/>
  <c r="BN23" i="32" s="1"/>
  <c r="BL22" i="32"/>
  <c r="BN22" i="32" s="1"/>
  <c r="BL21" i="32"/>
  <c r="BN21" i="32" s="1"/>
  <c r="BL20" i="32"/>
  <c r="BN20" i="32" s="1"/>
  <c r="BL19" i="32"/>
  <c r="BN19" i="32" s="1"/>
  <c r="BL18" i="32"/>
  <c r="BN18" i="32" s="1"/>
  <c r="BL16" i="32"/>
  <c r="BN16" i="32" s="1"/>
  <c r="BL13" i="32"/>
  <c r="BN13" i="32" s="1"/>
  <c r="BL11" i="32"/>
  <c r="BN11" i="32" s="1"/>
  <c r="BL8" i="32"/>
  <c r="BN8" i="32" s="1"/>
  <c r="BL61" i="28"/>
  <c r="BL35" i="27" l="1"/>
  <c r="BL27" i="32"/>
  <c r="BN44" i="32"/>
  <c r="BL66" i="32"/>
  <c r="BM66" i="27" s="1"/>
  <c r="BL49" i="27"/>
  <c r="BL38" i="32"/>
  <c r="BM65" i="27" l="1"/>
  <c r="BN66" i="27"/>
  <c r="BN65" i="27" s="1"/>
  <c r="BL66" i="27"/>
  <c r="BL65" i="27" s="1"/>
  <c r="BL67" i="32"/>
  <c r="BN67" i="32" s="1"/>
  <c r="BO67" i="32" s="1"/>
  <c r="BL65" i="32"/>
  <c r="BN66" i="32"/>
  <c r="BN27" i="32"/>
  <c r="BL35" i="32"/>
  <c r="BN35" i="32" s="1"/>
  <c r="BN38" i="32"/>
  <c r="BL49" i="32"/>
  <c r="BN49" i="32" s="1"/>
  <c r="BP67" i="32" l="1"/>
  <c r="BO67" i="27"/>
  <c r="BN65" i="32"/>
  <c r="BL67" i="27"/>
  <c r="BM67" i="27"/>
  <c r="BN67" i="27" s="1"/>
  <c r="BQ67" i="32" l="1"/>
  <c r="BP67" i="27"/>
  <c r="BL35" i="28"/>
  <c r="BL39" i="28" s="1"/>
  <c r="BR67" i="32" l="1"/>
  <c r="BQ67" i="27"/>
  <c r="BN20" i="25"/>
  <c r="BN34" i="25" s="1"/>
  <c r="BS67" i="32" l="1"/>
  <c r="BT67" i="32" s="1"/>
  <c r="BR67" i="27"/>
  <c r="BS67" i="27" s="1"/>
  <c r="BN31" i="1"/>
  <c r="BU67" i="32" l="1"/>
  <c r="BT67" i="27"/>
  <c r="BN24" i="1"/>
  <c r="BN10" i="1" l="1"/>
  <c r="BN11" i="1" l="1"/>
  <c r="BN54" i="1" l="1"/>
  <c r="BL76" i="29"/>
  <c r="BN76" i="29" s="1"/>
  <c r="BN5" i="1"/>
  <c r="BS77" i="29" s="1"/>
  <c r="BL14" i="29"/>
  <c r="BL67" i="28"/>
  <c r="BN77" i="29" l="1"/>
  <c r="BL77" i="29"/>
  <c r="BN14" i="29"/>
  <c r="BN46" i="1"/>
  <c r="BN47" i="1"/>
  <c r="BN25" i="1"/>
  <c r="BN23" i="1"/>
  <c r="BN12" i="1" l="1"/>
  <c r="BN48" i="1" s="1"/>
  <c r="BN18" i="1"/>
  <c r="BN6" i="1"/>
  <c r="BL69" i="28"/>
  <c r="BL70" i="28" l="1"/>
  <c r="BL78" i="29"/>
  <c r="BN7" i="1"/>
  <c r="BN44" i="1" l="1"/>
  <c r="BN78" i="29"/>
  <c r="BN20" i="1"/>
  <c r="BL80" i="29"/>
  <c r="BN80" i="29" s="1"/>
  <c r="BL79" i="29"/>
  <c r="BN45" i="1" l="1"/>
  <c r="BN79" i="29"/>
  <c r="BN81" i="29"/>
  <c r="BL81" i="29"/>
  <c r="BN53" i="1"/>
  <c r="BN55" i="1"/>
  <c r="BL6" i="27" l="1"/>
  <c r="BM6" i="27" s="1"/>
  <c r="BM6" i="32" l="1"/>
  <c r="BM24" i="32" s="1"/>
  <c r="BM53" i="32" s="1"/>
  <c r="BM24" i="27"/>
  <c r="BN6" i="27"/>
  <c r="BL24" i="27"/>
  <c r="BL53" i="27" s="1"/>
  <c r="BL55" i="27" s="1"/>
  <c r="BL6" i="32"/>
  <c r="BL48" i="28"/>
  <c r="BN33" i="1"/>
  <c r="BL57" i="27" l="1"/>
  <c r="BL7" i="28" s="1"/>
  <c r="BL16" i="28" s="1"/>
  <c r="BL23" i="28" s="1"/>
  <c r="BN37" i="1"/>
  <c r="BL50" i="28"/>
  <c r="BL53" i="28" s="1"/>
  <c r="BL54" i="28" s="1"/>
  <c r="BM48" i="28"/>
  <c r="BN24" i="27"/>
  <c r="BM53" i="27"/>
  <c r="BN50" i="1"/>
  <c r="BN36" i="1"/>
  <c r="BL24" i="32"/>
  <c r="BN6" i="32"/>
  <c r="BL55" i="28" l="1"/>
  <c r="BM50" i="28"/>
  <c r="BN48" i="28"/>
  <c r="BO48" i="28" s="1"/>
  <c r="BL63" i="28"/>
  <c r="BL64" i="28" s="1"/>
  <c r="BL65" i="28" s="1"/>
  <c r="BM55" i="27"/>
  <c r="BM57" i="27" s="1"/>
  <c r="BM7" i="28" s="1"/>
  <c r="BN53" i="27"/>
  <c r="BL53" i="32"/>
  <c r="BN24" i="32"/>
  <c r="BO50" i="28" l="1"/>
  <c r="BO53" i="28" s="1"/>
  <c r="BO54" i="28" s="1"/>
  <c r="BP48" i="28"/>
  <c r="BM53" i="28"/>
  <c r="BM63" i="28" s="1"/>
  <c r="BN50" i="28"/>
  <c r="BN55" i="27"/>
  <c r="BN53" i="32"/>
  <c r="BN55" i="32" s="1"/>
  <c r="BS54" i="32" s="1"/>
  <c r="BS55" i="32" s="1"/>
  <c r="BX54" i="32" s="1"/>
  <c r="BL55" i="32"/>
  <c r="BL57" i="32" s="1"/>
  <c r="BT54" i="32" l="1"/>
  <c r="BT55" i="32" s="1"/>
  <c r="BU54" i="32" s="1"/>
  <c r="BS57" i="32"/>
  <c r="BN57" i="27"/>
  <c r="BP50" i="28"/>
  <c r="BP53" i="28" s="1"/>
  <c r="BP54" i="28" s="1"/>
  <c r="BQ48" i="28"/>
  <c r="BO54" i="32"/>
  <c r="BO55" i="32" s="1"/>
  <c r="BN57" i="32"/>
  <c r="BO63" i="28"/>
  <c r="BO64" i="28" s="1"/>
  <c r="BN63" i="28"/>
  <c r="BM64" i="28"/>
  <c r="BM16" i="28"/>
  <c r="BN7" i="28"/>
  <c r="BN53" i="28"/>
  <c r="BN59" i="1" s="1"/>
  <c r="BM54" i="28"/>
  <c r="BN54" i="28" s="1"/>
  <c r="BN58" i="32"/>
  <c r="BL58" i="32"/>
  <c r="BM54" i="32"/>
  <c r="BM55" i="32" s="1"/>
  <c r="BP54" i="27" l="1"/>
  <c r="BP55" i="27" s="1"/>
  <c r="BP57" i="27" s="1"/>
  <c r="BP7" i="28" s="1"/>
  <c r="BO54" i="27"/>
  <c r="BO55" i="27" s="1"/>
  <c r="BO57" i="27" s="1"/>
  <c r="BO7" i="28" s="1"/>
  <c r="BO16" i="28" s="1"/>
  <c r="BO23" i="28" s="1"/>
  <c r="BO55" i="28" s="1"/>
  <c r="BR54" i="27"/>
  <c r="BQ54" i="27"/>
  <c r="BQ55" i="27" s="1"/>
  <c r="BQ57" i="27" s="1"/>
  <c r="BQ7" i="28" s="1"/>
  <c r="BQ16" i="28" s="1"/>
  <c r="BQ23" i="28" s="1"/>
  <c r="BT57" i="32"/>
  <c r="BQ50" i="28"/>
  <c r="BQ53" i="28" s="1"/>
  <c r="BQ63" i="28" s="1"/>
  <c r="BQ64" i="28" s="1"/>
  <c r="BR48" i="28"/>
  <c r="BP63" i="28"/>
  <c r="BP64" i="28" s="1"/>
  <c r="BP65" i="28" s="1"/>
  <c r="BM58" i="32"/>
  <c r="BM57" i="32"/>
  <c r="BP54" i="32"/>
  <c r="BP55" i="32" s="1"/>
  <c r="BP58" i="32" s="1"/>
  <c r="BO57" i="32"/>
  <c r="BP16" i="28"/>
  <c r="BP23" i="28" s="1"/>
  <c r="BP55" i="28" s="1"/>
  <c r="BM65" i="28"/>
  <c r="BN65" i="28" s="1"/>
  <c r="BN61" i="1" s="1"/>
  <c r="BN64" i="28"/>
  <c r="BN60" i="1" s="1"/>
  <c r="BM23" i="28"/>
  <c r="BN16" i="28"/>
  <c r="BO65" i="28" l="1"/>
  <c r="BO58" i="32"/>
  <c r="BQ65" i="28"/>
  <c r="BS54" i="27"/>
  <c r="BR55" i="27"/>
  <c r="BQ54" i="28"/>
  <c r="BQ55" i="28" s="1"/>
  <c r="BS48" i="28"/>
  <c r="BT48" i="28" s="1"/>
  <c r="BT50" i="28" s="1"/>
  <c r="BT53" i="28" s="1"/>
  <c r="BR50" i="28"/>
  <c r="BP57" i="32"/>
  <c r="BQ54" i="32"/>
  <c r="BQ55" i="32" s="1"/>
  <c r="BR54" i="32" s="1"/>
  <c r="BR55" i="32" s="1"/>
  <c r="BM55" i="28"/>
  <c r="BN23" i="28"/>
  <c r="BN55" i="28" s="1"/>
  <c r="BT63" i="28" l="1"/>
  <c r="BT64" i="28" s="1"/>
  <c r="BT54" i="28"/>
  <c r="BS55" i="27"/>
  <c r="BR57" i="27"/>
  <c r="BR7" i="28" s="1"/>
  <c r="BR58" i="32"/>
  <c r="BR57" i="32"/>
  <c r="BR53" i="28"/>
  <c r="BS50" i="28"/>
  <c r="BQ58" i="32"/>
  <c r="BQ57" i="32"/>
  <c r="BW54" i="27" l="1"/>
  <c r="BX54" i="27" s="1"/>
  <c r="BV54" i="27"/>
  <c r="BU54" i="27"/>
  <c r="BT54" i="27"/>
  <c r="BT55" i="27" s="1"/>
  <c r="BS57" i="27"/>
  <c r="BS58" i="32"/>
  <c r="BR16" i="28"/>
  <c r="BS7" i="28"/>
  <c r="BS53" i="28"/>
  <c r="BR54" i="28"/>
  <c r="BS54" i="28" s="1"/>
  <c r="BR63" i="28"/>
  <c r="BS59" i="1" l="1"/>
  <c r="BS16" i="28"/>
  <c r="BR23" i="28"/>
  <c r="BS23" i="28" s="1"/>
  <c r="BS55" i="28" s="1"/>
  <c r="BT58" i="32"/>
  <c r="BT57" i="27"/>
  <c r="BT7" i="28" s="1"/>
  <c r="BR64" i="28"/>
  <c r="BS63" i="28"/>
  <c r="BT16" i="28" l="1"/>
  <c r="BT23" i="28" s="1"/>
  <c r="BT55" i="28" s="1"/>
  <c r="BT65" i="28"/>
  <c r="BR55" i="28"/>
  <c r="BR65" i="28"/>
  <c r="BS65" i="28" s="1"/>
  <c r="BS61" i="1" s="1"/>
  <c r="BS64" i="28"/>
  <c r="BS60" i="1" l="1"/>
  <c r="BV42" i="32" l="1"/>
  <c r="BX42" i="32" s="1"/>
  <c r="BV43" i="32" l="1"/>
  <c r="BX43" i="32" s="1"/>
  <c r="BX17" i="1" l="1"/>
  <c r="BX24" i="1"/>
  <c r="BV20" i="32" l="1"/>
  <c r="BX20" i="32" s="1"/>
  <c r="BV23" i="32"/>
  <c r="BX23" i="32" s="1"/>
  <c r="BV13" i="32"/>
  <c r="BX13" i="32" s="1"/>
  <c r="BV21" i="32"/>
  <c r="BX21" i="32" s="1"/>
  <c r="BX31" i="1"/>
  <c r="BX15" i="1"/>
  <c r="BV27" i="32"/>
  <c r="BX27" i="32" s="1"/>
  <c r="BU61" i="28"/>
  <c r="BV44" i="32"/>
  <c r="BV66" i="32" l="1"/>
  <c r="BV65" i="32" s="1"/>
  <c r="BX44" i="32"/>
  <c r="BV66" i="27"/>
  <c r="BV65" i="27" s="1"/>
  <c r="BV67" i="32"/>
  <c r="BW67" i="32" s="1"/>
  <c r="BV48" i="32"/>
  <c r="BV34" i="32"/>
  <c r="BX34" i="32" s="1"/>
  <c r="BV30" i="32"/>
  <c r="BX30" i="32" s="1"/>
  <c r="BV16" i="32"/>
  <c r="BX16" i="32" s="1"/>
  <c r="BV22" i="32"/>
  <c r="BX22" i="32" s="1"/>
  <c r="BV32" i="32"/>
  <c r="BX32" i="32" s="1"/>
  <c r="BV11" i="32"/>
  <c r="BX11" i="32" s="1"/>
  <c r="BV19" i="32"/>
  <c r="BX19" i="32" s="1"/>
  <c r="BV31" i="32"/>
  <c r="BX31" i="32" s="1"/>
  <c r="BV29" i="32"/>
  <c r="BX29" i="32" s="1"/>
  <c r="BV8" i="32"/>
  <c r="BX8" i="32" s="1"/>
  <c r="BV18" i="32"/>
  <c r="BX18" i="32" s="1"/>
  <c r="BV12" i="32"/>
  <c r="BX12" i="32" s="1"/>
  <c r="BU35" i="27"/>
  <c r="BU48" i="1"/>
  <c r="BX12" i="1"/>
  <c r="BU76" i="29"/>
  <c r="BX76" i="29" s="1"/>
  <c r="BU7" i="1"/>
  <c r="BX7" i="1" s="1"/>
  <c r="BU14" i="29"/>
  <c r="BX5" i="1"/>
  <c r="BU69" i="28"/>
  <c r="BU49" i="27"/>
  <c r="BU47" i="1"/>
  <c r="BX11" i="1"/>
  <c r="BX28" i="1"/>
  <c r="BU67" i="28"/>
  <c r="BU46" i="1"/>
  <c r="BX10" i="1"/>
  <c r="BU18" i="1"/>
  <c r="BX18" i="1" s="1"/>
  <c r="BU68" i="28"/>
  <c r="BX6" i="1"/>
  <c r="BU60" i="28"/>
  <c r="BU25" i="1"/>
  <c r="BX25" i="1" s="1"/>
  <c r="BX23" i="1"/>
  <c r="BX44" i="1" l="1"/>
  <c r="CC77" i="29"/>
  <c r="BX77" i="29"/>
  <c r="BX48" i="1"/>
  <c r="BX47" i="1"/>
  <c r="BV49" i="32"/>
  <c r="BX49" i="32" s="1"/>
  <c r="BX48" i="32"/>
  <c r="BV67" i="27"/>
  <c r="BX66" i="32"/>
  <c r="BX65" i="32" s="1"/>
  <c r="BW66" i="27"/>
  <c r="BV35" i="32"/>
  <c r="BX35" i="32" s="1"/>
  <c r="BX46" i="1"/>
  <c r="BU44" i="1"/>
  <c r="BU20" i="1"/>
  <c r="BU78" i="29"/>
  <c r="BX78" i="29" s="1"/>
  <c r="BU70" i="28"/>
  <c r="BU77" i="29"/>
  <c r="BX14" i="29"/>
  <c r="BX79" i="29" l="1"/>
  <c r="BW67" i="27"/>
  <c r="BX67" i="27" s="1"/>
  <c r="BX67" i="32"/>
  <c r="BY67" i="32" s="1"/>
  <c r="BX66" i="27"/>
  <c r="BX65" i="27" s="1"/>
  <c r="BW65" i="27"/>
  <c r="BU66" i="27"/>
  <c r="BU65" i="27" s="1"/>
  <c r="BU79" i="29"/>
  <c r="BU80" i="29"/>
  <c r="BX80" i="29" s="1"/>
  <c r="BX20" i="1"/>
  <c r="BU27" i="1"/>
  <c r="BU45" i="1"/>
  <c r="BU53" i="1"/>
  <c r="BX53" i="1" s="1"/>
  <c r="BU67" i="27"/>
  <c r="BZ67" i="32" l="1"/>
  <c r="CA67" i="32" s="1"/>
  <c r="BY67" i="27"/>
  <c r="BX81" i="29"/>
  <c r="BU30" i="1"/>
  <c r="BX27" i="1"/>
  <c r="BX49" i="1" s="1"/>
  <c r="BU49" i="1"/>
  <c r="BU57" i="1" s="1"/>
  <c r="BX57" i="1" s="1"/>
  <c r="BX59" i="1" s="1"/>
  <c r="BX45" i="1"/>
  <c r="BU81" i="29"/>
  <c r="CA67" i="27" l="1"/>
  <c r="CB67" i="32"/>
  <c r="BZ67" i="27"/>
  <c r="BU54" i="1"/>
  <c r="BU6" i="27"/>
  <c r="BU6" i="32" s="1"/>
  <c r="BU24" i="32" s="1"/>
  <c r="BU53" i="32" s="1"/>
  <c r="BU55" i="32" s="1"/>
  <c r="BU57" i="32" s="1"/>
  <c r="BU33" i="1"/>
  <c r="BX30" i="1"/>
  <c r="BU55" i="1" l="1"/>
  <c r="BX55" i="1" s="1"/>
  <c r="BX60" i="1" s="1"/>
  <c r="BX54" i="1"/>
  <c r="CB67" i="27"/>
  <c r="CC67" i="27" s="1"/>
  <c r="CC67" i="32"/>
  <c r="CD67" i="32" s="1"/>
  <c r="BU24" i="27"/>
  <c r="BU53" i="27" s="1"/>
  <c r="BU55" i="27" s="1"/>
  <c r="BV6" i="27"/>
  <c r="BU48" i="28"/>
  <c r="BU50" i="28" s="1"/>
  <c r="BU53" i="28" s="1"/>
  <c r="BU63" i="28" s="1"/>
  <c r="BU64" i="28" s="1"/>
  <c r="BU50" i="1"/>
  <c r="BU36" i="1"/>
  <c r="BU37" i="1"/>
  <c r="BX33" i="1"/>
  <c r="BX37" i="1" s="1"/>
  <c r="BV54" i="32"/>
  <c r="CD67" i="27" l="1"/>
  <c r="BX36" i="1"/>
  <c r="BX50" i="1"/>
  <c r="BV6" i="32"/>
  <c r="BV24" i="32" s="1"/>
  <c r="BW6" i="27"/>
  <c r="BU57" i="27"/>
  <c r="BU7" i="28" s="1"/>
  <c r="BU16" i="28" s="1"/>
  <c r="BU23" i="28" s="1"/>
  <c r="BU58" i="32"/>
  <c r="BV24" i="27"/>
  <c r="BV53" i="27" s="1"/>
  <c r="BV55" i="27" s="1"/>
  <c r="BV57" i="27" s="1"/>
  <c r="BU65" i="28" l="1"/>
  <c r="BV16" i="28"/>
  <c r="BV23" i="28" s="1"/>
  <c r="BV65" i="28"/>
  <c r="BW6" i="32"/>
  <c r="BW24" i="32" s="1"/>
  <c r="BW53" i="32" s="1"/>
  <c r="BW24" i="27"/>
  <c r="BX6" i="27"/>
  <c r="BV53" i="32"/>
  <c r="BV55" i="32" l="1"/>
  <c r="BW54" i="32" s="1"/>
  <c r="BW55" i="32" s="1"/>
  <c r="BX53" i="32"/>
  <c r="BX55" i="32" s="1"/>
  <c r="BX6" i="32"/>
  <c r="BX24" i="27"/>
  <c r="BW53" i="27"/>
  <c r="BX24" i="32"/>
  <c r="BU35" i="28"/>
  <c r="BU39" i="28" s="1"/>
  <c r="BU54" i="28" s="1"/>
  <c r="BU55" i="28" s="1"/>
  <c r="BV57" i="32" l="1"/>
  <c r="BV58" i="32"/>
  <c r="CC54" i="32"/>
  <c r="CC55" i="32" s="1"/>
  <c r="BY54" i="32"/>
  <c r="BY55" i="32" s="1"/>
  <c r="BZ54" i="32" s="1"/>
  <c r="BZ55" i="32" s="1"/>
  <c r="CA54" i="32" s="1"/>
  <c r="CA55" i="32" s="1"/>
  <c r="CB54" i="32" s="1"/>
  <c r="CB55" i="32" s="1"/>
  <c r="BX57" i="32"/>
  <c r="BW57" i="32"/>
  <c r="BX53" i="27"/>
  <c r="BW55" i="27"/>
  <c r="BW58" i="32" s="1"/>
  <c r="CD54" i="32" l="1"/>
  <c r="CD55" i="32" s="1"/>
  <c r="CE54" i="32" s="1"/>
  <c r="CH54" i="32"/>
  <c r="CB57" i="32"/>
  <c r="CA57" i="32"/>
  <c r="BZ57" i="32"/>
  <c r="BY57" i="32"/>
  <c r="CC57" i="32"/>
  <c r="BX55" i="27"/>
  <c r="BW57" i="27"/>
  <c r="BW7" i="28" s="1"/>
  <c r="BZ54" i="27" l="1"/>
  <c r="BZ55" i="27" s="1"/>
  <c r="CA54" i="27"/>
  <c r="CB54" i="27"/>
  <c r="CD57" i="32"/>
  <c r="BY54" i="27"/>
  <c r="BY55" i="27" s="1"/>
  <c r="BY57" i="27" s="1"/>
  <c r="BY7" i="28" s="1"/>
  <c r="BY65" i="28" s="1"/>
  <c r="CA55" i="27"/>
  <c r="BW16" i="28"/>
  <c r="BX7" i="28"/>
  <c r="BW65" i="28"/>
  <c r="BX65" i="28" s="1"/>
  <c r="BX57" i="27"/>
  <c r="BX58" i="32"/>
  <c r="CC54" i="27" l="1"/>
  <c r="CB55" i="27"/>
  <c r="BY58" i="32"/>
  <c r="BZ57" i="27"/>
  <c r="BZ7" i="28" s="1"/>
  <c r="BZ58" i="32"/>
  <c r="BY16" i="28"/>
  <c r="BY23" i="28" s="1"/>
  <c r="BY55" i="28" s="1"/>
  <c r="CA57" i="27"/>
  <c r="CA7" i="28" s="1"/>
  <c r="CA16" i="28" s="1"/>
  <c r="CA58" i="32"/>
  <c r="BX61" i="1"/>
  <c r="BW23" i="28"/>
  <c r="BX23" i="28" s="1"/>
  <c r="BX55" i="28" s="1"/>
  <c r="BX16" i="28"/>
  <c r="CB57" i="27" l="1"/>
  <c r="CB7" i="28" s="1"/>
  <c r="CC55" i="27"/>
  <c r="CB58" i="32"/>
  <c r="BZ16" i="28"/>
  <c r="BZ23" i="28" s="1"/>
  <c r="BZ55" i="28" s="1"/>
  <c r="BZ65" i="28"/>
  <c r="CA23" i="28"/>
  <c r="CA55" i="28" s="1"/>
  <c r="CA65" i="28"/>
  <c r="CE54" i="27" l="1"/>
  <c r="CG54" i="27"/>
  <c r="CH54" i="27" s="1"/>
  <c r="CF54" i="27"/>
  <c r="CD54" i="27"/>
  <c r="CD55" i="27" s="1"/>
  <c r="CC57" i="27"/>
  <c r="CC7" i="28"/>
  <c r="CB16" i="28"/>
  <c r="CB65" i="28"/>
  <c r="CC65" i="28" s="1"/>
  <c r="CC61" i="1" s="1"/>
  <c r="CD57" i="27" l="1"/>
  <c r="CD7" i="28" s="1"/>
  <c r="CD16" i="28" s="1"/>
  <c r="CD58" i="32"/>
  <c r="CB23" i="28"/>
  <c r="CC16" i="28"/>
  <c r="CC23" i="28" l="1"/>
  <c r="CD23" i="28"/>
  <c r="CD55" i="28" s="1"/>
  <c r="CD65" i="28"/>
  <c r="CC7" i="25"/>
  <c r="CC9" i="25"/>
  <c r="CC8" i="25"/>
  <c r="CC6" i="25" l="1"/>
  <c r="CB10" i="25"/>
  <c r="CB12" i="25" l="1"/>
  <c r="CC12" i="25" s="1"/>
  <c r="CC10" i="25"/>
  <c r="CH7" i="25" l="1"/>
  <c r="CH9" i="25"/>
  <c r="CH6" i="25"/>
  <c r="CH8" i="25"/>
  <c r="CD10" i="25" l="1"/>
  <c r="CD12" i="25" l="1"/>
  <c r="CH10" i="25"/>
  <c r="CE43" i="32" l="1"/>
  <c r="CF43" i="32" l="1"/>
  <c r="CE20" i="32"/>
  <c r="CF20" i="32"/>
  <c r="CE68" i="28" l="1"/>
  <c r="CE8" i="32" l="1"/>
  <c r="CF8" i="32"/>
  <c r="CF51" i="32"/>
  <c r="CE49" i="27"/>
  <c r="CF27" i="32"/>
  <c r="CE61" i="28"/>
  <c r="CE69" i="28"/>
  <c r="CE67" i="28"/>
  <c r="CE70" i="28" l="1"/>
  <c r="CF42" i="32"/>
  <c r="CE42" i="32"/>
  <c r="CE12" i="32"/>
  <c r="CF12" i="32"/>
  <c r="CE23" i="32"/>
  <c r="CF23" i="32"/>
  <c r="CE44" i="32"/>
  <c r="CE66" i="32" s="1"/>
  <c r="CF44" i="32"/>
  <c r="CF66" i="32" s="1"/>
  <c r="CE34" i="32"/>
  <c r="CF34" i="32"/>
  <c r="CE51" i="32"/>
  <c r="CE15" i="32"/>
  <c r="CF15" i="32"/>
  <c r="CE29" i="32"/>
  <c r="CF29" i="32"/>
  <c r="CE60" i="32"/>
  <c r="CF60" i="32"/>
  <c r="CE22" i="32"/>
  <c r="CF22" i="32"/>
  <c r="CE16" i="32"/>
  <c r="CF16" i="32"/>
  <c r="CE30" i="32"/>
  <c r="CF30" i="32"/>
  <c r="CF61" i="32"/>
  <c r="CE21" i="32"/>
  <c r="CF21" i="32"/>
  <c r="CE11" i="32"/>
  <c r="CF11" i="32"/>
  <c r="CE47" i="1"/>
  <c r="CE18" i="32"/>
  <c r="CF18" i="32"/>
  <c r="CE31" i="32"/>
  <c r="CF31" i="32"/>
  <c r="CE13" i="32"/>
  <c r="CF13" i="32"/>
  <c r="CE19" i="32"/>
  <c r="CF19" i="32"/>
  <c r="CE32" i="32"/>
  <c r="CF32" i="32"/>
  <c r="CE46" i="1"/>
  <c r="CE48" i="1"/>
  <c r="CE60" i="28"/>
  <c r="CE25" i="1"/>
  <c r="CE27" i="32"/>
  <c r="CE35" i="27"/>
  <c r="CE7" i="1"/>
  <c r="CE18" i="1"/>
  <c r="CE50" i="28"/>
  <c r="CE53" i="28" s="1"/>
  <c r="CE63" i="28" s="1"/>
  <c r="CE78" i="29" l="1"/>
  <c r="CE79" i="29" s="1"/>
  <c r="CE20" i="1"/>
  <c r="CE53" i="1" s="1"/>
  <c r="CF66" i="27"/>
  <c r="CF65" i="27" s="1"/>
  <c r="CE49" i="32"/>
  <c r="CF49" i="32"/>
  <c r="CF65" i="32"/>
  <c r="CF35" i="32"/>
  <c r="CE44" i="1"/>
  <c r="CE66" i="27"/>
  <c r="CE65" i="27" s="1"/>
  <c r="CE67" i="27"/>
  <c r="CE65" i="32"/>
  <c r="CE35" i="32"/>
  <c r="CE64" i="28"/>
  <c r="CE45" i="1" l="1"/>
  <c r="CE27" i="1"/>
  <c r="CF67" i="27"/>
  <c r="CE49" i="1"/>
  <c r="CE30" i="1" l="1"/>
  <c r="CE57" i="1"/>
  <c r="CE54" i="1"/>
  <c r="CE6" i="27" l="1"/>
  <c r="CE6" i="32" s="1"/>
  <c r="CE55" i="1"/>
  <c r="CE33" i="1"/>
  <c r="CE36" i="1" s="1"/>
  <c r="CF6" i="27" l="1"/>
  <c r="CE24" i="27"/>
  <c r="CE53" i="27" s="1"/>
  <c r="CE55" i="27" s="1"/>
  <c r="CE57" i="27" s="1"/>
  <c r="CE7" i="28" s="1"/>
  <c r="CE50" i="1"/>
  <c r="CE37" i="1"/>
  <c r="CF6" i="32" l="1"/>
  <c r="CF24" i="32" s="1"/>
  <c r="CF53" i="32" s="1"/>
  <c r="CF24" i="27"/>
  <c r="CF53" i="27" s="1"/>
  <c r="CF55" i="27" s="1"/>
  <c r="CF57" i="27" s="1"/>
  <c r="CF7" i="28" s="1"/>
  <c r="CF16" i="28" s="1"/>
  <c r="CF23" i="28" s="1"/>
  <c r="CF55" i="28" s="1"/>
  <c r="CE24" i="32"/>
  <c r="CE16" i="28"/>
  <c r="CE23" i="28" s="1"/>
  <c r="CE65" i="28"/>
  <c r="CE53" i="32" l="1"/>
  <c r="CE55" i="32" l="1"/>
  <c r="CE58" i="32" l="1"/>
  <c r="CF54" i="32"/>
  <c r="CF55" i="32" s="1"/>
  <c r="CG54" i="32" s="1"/>
  <c r="CE57" i="32"/>
  <c r="CF58" i="32" l="1"/>
  <c r="CF57" i="32"/>
  <c r="CE52" i="29"/>
  <c r="CE61" i="29" s="1"/>
  <c r="CE56" i="29" l="1"/>
  <c r="CE58" i="29"/>
  <c r="CE60" i="29"/>
  <c r="CE55" i="29"/>
  <c r="CE57" i="29"/>
  <c r="CE59" i="29"/>
  <c r="CE31" i="29" l="1"/>
  <c r="CE43" i="29" l="1"/>
  <c r="CE34" i="29"/>
  <c r="CE39" i="29"/>
  <c r="CE13" i="29" l="1"/>
  <c r="CE18" i="29" l="1"/>
  <c r="CE14" i="29"/>
  <c r="CE20" i="29"/>
  <c r="CE23" i="29"/>
  <c r="CE19" i="29"/>
  <c r="CE22" i="29"/>
  <c r="CE17" i="29"/>
  <c r="CE16" i="29"/>
  <c r="CE21" i="29"/>
  <c r="CE80" i="29" l="1"/>
  <c r="CE81" i="29" l="1"/>
  <c r="CE35" i="28" l="1"/>
  <c r="CE39" i="28" s="1"/>
  <c r="CE54" i="28" s="1"/>
  <c r="CE55" i="28" s="1"/>
  <c r="CF64" i="28" l="1"/>
  <c r="CF65" i="28" s="1"/>
  <c r="CF78" i="29" l="1"/>
  <c r="CF76" i="29" l="1"/>
  <c r="CF77" i="29" s="1"/>
  <c r="CF80" i="29"/>
  <c r="CF81" i="29" l="1"/>
  <c r="CF79" i="29"/>
  <c r="CH13" i="28" l="1"/>
  <c r="CH12" i="28"/>
  <c r="CG10" i="28" l="1"/>
  <c r="CH11" i="28"/>
  <c r="CH10" i="28" l="1"/>
  <c r="CC31" i="28" l="1"/>
  <c r="CC33" i="28"/>
  <c r="CB35" i="28" l="1"/>
  <c r="CC35" i="28" l="1"/>
  <c r="CB39" i="28"/>
  <c r="CC39" i="28" l="1"/>
  <c r="CB54" i="28"/>
  <c r="CC54" i="28" l="1"/>
  <c r="CC55" i="28" s="1"/>
  <c r="CB55" i="28"/>
  <c r="CH22" i="25" l="1"/>
  <c r="CG12" i="25" l="1"/>
  <c r="CH12" i="25" s="1"/>
  <c r="CH11" i="25"/>
  <c r="CH14" i="25" l="1"/>
  <c r="CH23" i="25" l="1"/>
  <c r="CC50" i="29" l="1"/>
  <c r="CC48" i="29" l="1"/>
  <c r="CC47" i="29" l="1"/>
  <c r="CC46" i="29"/>
  <c r="CB52" i="29"/>
  <c r="CB55" i="29" s="1"/>
  <c r="CC49" i="29"/>
  <c r="CC51" i="29"/>
  <c r="CC68" i="29"/>
  <c r="CB58" i="29" l="1"/>
  <c r="CC27" i="29"/>
  <c r="CB61" i="29"/>
  <c r="CB59" i="29"/>
  <c r="CB57" i="29"/>
  <c r="CC52" i="29"/>
  <c r="CB31" i="29"/>
  <c r="CB43" i="29" s="1"/>
  <c r="CC26" i="29"/>
  <c r="CB56" i="29"/>
  <c r="CB60" i="29"/>
  <c r="CB34" i="29" l="1"/>
  <c r="CB39" i="29"/>
  <c r="CC61" i="29"/>
  <c r="CC59" i="29"/>
  <c r="CC57" i="29"/>
  <c r="CC56" i="29"/>
  <c r="CC31" i="29"/>
  <c r="CC43" i="29" s="1"/>
  <c r="CC58" i="29"/>
  <c r="CC55" i="29"/>
  <c r="CC60" i="29"/>
  <c r="CC39" i="29" l="1"/>
  <c r="CC34" i="29"/>
  <c r="CC38" i="29" s="1"/>
  <c r="CC41" i="29" l="1"/>
  <c r="CC42" i="29"/>
  <c r="CC40" i="29"/>
  <c r="CC10" i="29" l="1"/>
  <c r="CC9" i="29"/>
  <c r="CC6" i="29"/>
  <c r="CC7" i="29"/>
  <c r="CC12" i="29"/>
  <c r="CB13" i="29" l="1"/>
  <c r="CB21" i="29" s="1"/>
  <c r="CC8" i="29"/>
  <c r="CC11" i="29"/>
  <c r="CB18" i="29" l="1"/>
  <c r="CB23" i="29"/>
  <c r="CC13" i="29"/>
  <c r="CC21" i="29" s="1"/>
  <c r="CB14" i="29"/>
  <c r="CB20" i="29"/>
  <c r="CB22" i="29"/>
  <c r="CB17" i="29"/>
  <c r="CB19" i="29"/>
  <c r="CB16" i="29"/>
  <c r="CC20" i="29" l="1"/>
  <c r="CC23" i="29"/>
  <c r="CC14" i="29"/>
  <c r="CC17" i="29"/>
  <c r="CC22" i="29"/>
  <c r="CC16" i="29"/>
  <c r="CC19" i="29"/>
  <c r="CC18" i="29"/>
  <c r="CH30" i="25" l="1"/>
  <c r="CG30" i="32" l="1"/>
  <c r="CH30" i="32" s="1"/>
  <c r="CH30" i="27"/>
  <c r="CH15" i="1" l="1"/>
  <c r="CH31" i="25" l="1"/>
  <c r="CH17" i="1" l="1"/>
  <c r="CH23" i="1" l="1"/>
  <c r="CH22" i="28" l="1"/>
  <c r="CH19" i="28"/>
  <c r="CH48" i="28" l="1"/>
  <c r="CG51" i="32" l="1"/>
  <c r="CH51" i="32" s="1"/>
  <c r="CH51" i="27"/>
  <c r="CH46" i="28" l="1"/>
  <c r="CH31" i="1"/>
  <c r="CH13" i="1"/>
  <c r="CH52" i="28"/>
  <c r="CH49" i="28"/>
  <c r="CH45" i="28"/>
  <c r="CH37" i="28"/>
  <c r="CH34" i="28"/>
  <c r="CH21" i="28"/>
  <c r="CH20" i="28"/>
  <c r="CH18" i="28"/>
  <c r="CH15" i="28"/>
  <c r="CH14" i="28"/>
  <c r="CH8" i="28"/>
  <c r="CG76" i="29" l="1"/>
  <c r="CG7" i="1"/>
  <c r="CG46" i="1"/>
  <c r="CG18" i="1"/>
  <c r="CH18" i="1" s="1"/>
  <c r="CH10" i="1"/>
  <c r="CH11" i="27"/>
  <c r="CG11" i="32"/>
  <c r="CH11" i="32" s="1"/>
  <c r="CG20" i="32"/>
  <c r="CH20" i="32" s="1"/>
  <c r="CH20" i="27"/>
  <c r="CH44" i="28"/>
  <c r="CG50" i="28"/>
  <c r="CG48" i="1"/>
  <c r="CH12" i="1"/>
  <c r="CG22" i="32"/>
  <c r="CH22" i="32" s="1"/>
  <c r="CH22" i="27"/>
  <c r="CH14" i="27"/>
  <c r="CG14" i="32"/>
  <c r="CH14" i="32" s="1"/>
  <c r="CG10" i="32"/>
  <c r="CH10" i="32" s="1"/>
  <c r="CH10" i="27"/>
  <c r="CG60" i="28"/>
  <c r="CH60" i="28" s="1"/>
  <c r="CH28" i="28"/>
  <c r="CH14" i="1"/>
  <c r="CG13" i="32"/>
  <c r="CH13" i="32" s="1"/>
  <c r="CH13" i="27"/>
  <c r="CH27" i="27"/>
  <c r="CG27" i="32"/>
  <c r="CG45" i="32"/>
  <c r="CH45" i="32" s="1"/>
  <c r="CH45" i="27"/>
  <c r="CH16" i="1"/>
  <c r="CH16" i="27"/>
  <c r="CG16" i="32"/>
  <c r="CH16" i="32" s="1"/>
  <c r="CG29" i="32"/>
  <c r="CH29" i="32" s="1"/>
  <c r="CH29" i="27"/>
  <c r="CH60" i="27"/>
  <c r="CG60" i="32"/>
  <c r="CH60" i="32" s="1"/>
  <c r="CG43" i="32"/>
  <c r="CH43" i="32" s="1"/>
  <c r="CH43" i="27"/>
  <c r="CH23" i="27"/>
  <c r="CG23" i="32"/>
  <c r="CH23" i="32" s="1"/>
  <c r="CH29" i="28"/>
  <c r="CG69" i="28"/>
  <c r="CH5" i="1"/>
  <c r="CG18" i="32"/>
  <c r="CH18" i="32" s="1"/>
  <c r="CH18" i="27"/>
  <c r="CG35" i="27"/>
  <c r="CH35" i="27" s="1"/>
  <c r="CH31" i="27"/>
  <c r="CG31" i="32"/>
  <c r="CH31" i="32" s="1"/>
  <c r="CH42" i="27"/>
  <c r="CG49" i="27"/>
  <c r="CH49" i="27" s="1"/>
  <c r="CG42" i="32"/>
  <c r="CH61" i="27"/>
  <c r="CG61" i="32"/>
  <c r="CH61" i="32" s="1"/>
  <c r="CG67" i="28"/>
  <c r="CH9" i="28"/>
  <c r="CH6" i="1"/>
  <c r="CG68" i="28"/>
  <c r="CH24" i="1"/>
  <c r="CG25" i="1"/>
  <c r="CH25" i="1" s="1"/>
  <c r="CH8" i="27"/>
  <c r="CG8" i="32"/>
  <c r="CH8" i="32" s="1"/>
  <c r="CH19" i="27"/>
  <c r="CG19" i="32"/>
  <c r="CH19" i="32" s="1"/>
  <c r="CH32" i="27"/>
  <c r="CG32" i="32"/>
  <c r="CH32" i="32" s="1"/>
  <c r="CH44" i="27"/>
  <c r="CG44" i="32"/>
  <c r="CH27" i="1"/>
  <c r="CG30" i="1"/>
  <c r="CG33" i="32"/>
  <c r="CH33" i="32" s="1"/>
  <c r="CH33" i="27"/>
  <c r="CG61" i="28"/>
  <c r="CH61" i="28" s="1"/>
  <c r="CH38" i="28"/>
  <c r="CH11" i="1"/>
  <c r="CG47" i="1"/>
  <c r="CG49" i="1"/>
  <c r="CH28" i="1"/>
  <c r="CG12" i="32"/>
  <c r="CH12" i="32" s="1"/>
  <c r="CH12" i="27"/>
  <c r="CG21" i="32"/>
  <c r="CH21" i="32" s="1"/>
  <c r="CH21" i="27"/>
  <c r="CG34" i="32"/>
  <c r="CH34" i="32" s="1"/>
  <c r="CH34" i="27"/>
  <c r="CH49" i="1" l="1"/>
  <c r="CG34" i="25"/>
  <c r="CH33" i="25"/>
  <c r="CH47" i="1"/>
  <c r="CG70" i="28"/>
  <c r="CG15" i="32"/>
  <c r="CH15" i="32" s="1"/>
  <c r="CH15" i="27"/>
  <c r="CG66" i="32"/>
  <c r="CH44" i="32"/>
  <c r="CH76" i="29"/>
  <c r="CH77" i="29" s="1"/>
  <c r="CG77" i="29"/>
  <c r="CH32" i="25"/>
  <c r="CH34" i="25" s="1"/>
  <c r="CG33" i="1"/>
  <c r="CH30" i="1"/>
  <c r="CG6" i="27"/>
  <c r="CH6" i="27" s="1"/>
  <c r="CG20" i="1"/>
  <c r="CG57" i="1" s="1"/>
  <c r="CH7" i="1"/>
  <c r="CG44" i="1"/>
  <c r="CG78" i="29"/>
  <c r="CH48" i="1"/>
  <c r="CH46" i="1"/>
  <c r="CH27" i="32"/>
  <c r="CG35" i="32"/>
  <c r="CH35" i="32" s="1"/>
  <c r="CH42" i="32"/>
  <c r="CG49" i="32"/>
  <c r="CH49" i="32" s="1"/>
  <c r="CG53" i="28"/>
  <c r="CH50" i="28"/>
  <c r="CG53" i="1" l="1"/>
  <c r="CH53" i="1" s="1"/>
  <c r="CH54" i="1" s="1"/>
  <c r="CG54" i="1" s="1"/>
  <c r="CG55" i="1" s="1"/>
  <c r="CH55" i="1" s="1"/>
  <c r="CH53" i="28"/>
  <c r="CG63" i="28"/>
  <c r="CG79" i="29"/>
  <c r="CG80" i="29"/>
  <c r="CG81" i="29" s="1"/>
  <c r="CH44" i="1"/>
  <c r="CH78" i="29"/>
  <c r="CH57" i="1"/>
  <c r="CG45" i="1"/>
  <c r="CH20" i="1"/>
  <c r="CH45" i="1" s="1"/>
  <c r="CG24" i="27"/>
  <c r="CG6" i="32"/>
  <c r="CG24" i="32" s="1"/>
  <c r="CG65" i="32"/>
  <c r="CG66" i="27"/>
  <c r="CG65" i="27" s="1"/>
  <c r="CH66" i="32"/>
  <c r="CG50" i="1"/>
  <c r="CH33" i="1"/>
  <c r="CH36" i="1" s="1"/>
  <c r="CG37" i="1"/>
  <c r="CG36" i="1"/>
  <c r="CH59" i="1" l="1"/>
  <c r="CH65" i="32"/>
  <c r="CH6" i="32"/>
  <c r="CH80" i="29"/>
  <c r="CH81" i="29" s="1"/>
  <c r="CH79" i="29"/>
  <c r="CH24" i="27"/>
  <c r="CG53" i="27"/>
  <c r="CH66" i="27"/>
  <c r="CH50" i="1"/>
  <c r="CH37" i="1"/>
  <c r="CG64" i="28"/>
  <c r="CH63" i="28"/>
  <c r="CG55" i="27" l="1"/>
  <c r="CH53" i="27"/>
  <c r="CH64" i="28"/>
  <c r="CH60" i="1" s="1"/>
  <c r="CG53" i="32"/>
  <c r="CH24" i="32"/>
  <c r="CH53" i="32" l="1"/>
  <c r="CH55" i="32" s="1"/>
  <c r="CG55" i="32"/>
  <c r="CH55" i="27"/>
  <c r="CG57" i="27"/>
  <c r="CG7" i="28" s="1"/>
  <c r="CK54" i="27" l="1"/>
  <c r="CL54" i="27"/>
  <c r="CJ54" i="27"/>
  <c r="CI54" i="27"/>
  <c r="CH57" i="27"/>
  <c r="CI54" i="32"/>
  <c r="CH57" i="32"/>
  <c r="CM54" i="32"/>
  <c r="CH7" i="28"/>
  <c r="CG16" i="28"/>
  <c r="CG65" i="28"/>
  <c r="CH65" i="28" s="1"/>
  <c r="CH61" i="1" s="1"/>
  <c r="CG58" i="32"/>
  <c r="CG57" i="32"/>
  <c r="CM54" i="27" l="1"/>
  <c r="CH16" i="28"/>
  <c r="CG23" i="28"/>
  <c r="CH23" i="28" l="1"/>
  <c r="CH32" i="28" l="1"/>
  <c r="CH30" i="28" l="1"/>
  <c r="CH31" i="28" l="1"/>
  <c r="CH33" i="28"/>
  <c r="CG35" i="28" l="1"/>
  <c r="CG39" i="28" l="1"/>
  <c r="CH35" i="28"/>
  <c r="CG54" i="28" l="1"/>
  <c r="CH39" i="28"/>
  <c r="CH54" i="28" l="1"/>
  <c r="CH55" i="28" s="1"/>
  <c r="CG55" i="28"/>
  <c r="CM22" i="25" l="1"/>
  <c r="CM23" i="25" l="1"/>
  <c r="CH65" i="27" l="1"/>
  <c r="CI68" i="28" l="1"/>
  <c r="CI7" i="1"/>
  <c r="CI48" i="1"/>
  <c r="CI47" i="1"/>
  <c r="CI18" i="1"/>
  <c r="CI46" i="1"/>
  <c r="CI78" i="29" l="1"/>
  <c r="CI79" i="29" s="1"/>
  <c r="CI44" i="1"/>
  <c r="CI20" i="1"/>
  <c r="CI34" i="25"/>
  <c r="CI27" i="1" l="1"/>
  <c r="CI30" i="1" s="1"/>
  <c r="CI80" i="29"/>
  <c r="CI81" i="29" s="1"/>
  <c r="CI53" i="1"/>
  <c r="CI33" i="1" l="1"/>
  <c r="CI36" i="1" s="1"/>
  <c r="CI6" i="27"/>
  <c r="CJ6" i="27" s="1"/>
  <c r="CJ6" i="32" s="1"/>
  <c r="CJ24" i="32" s="1"/>
  <c r="CJ53" i="32" s="1"/>
  <c r="CJ24" i="27" l="1"/>
  <c r="CI24" i="27"/>
  <c r="CI6" i="32"/>
  <c r="CJ53" i="27" l="1"/>
  <c r="CJ55" i="27" s="1"/>
  <c r="CJ57" i="27" s="1"/>
  <c r="CJ7" i="28" s="1"/>
  <c r="CI53" i="27"/>
  <c r="CI55" i="27" s="1"/>
  <c r="CI57" i="27" s="1"/>
  <c r="CI7" i="28" s="1"/>
  <c r="CI24" i="32"/>
  <c r="CI60" i="28"/>
  <c r="CI69" i="28"/>
  <c r="CI62" i="28"/>
  <c r="CI61" i="28"/>
  <c r="CJ65" i="28" l="1"/>
  <c r="CJ16" i="28"/>
  <c r="CJ23" i="28" s="1"/>
  <c r="CJ55" i="28" s="1"/>
  <c r="CI70" i="28"/>
  <c r="CI53" i="32"/>
  <c r="CI16" i="28"/>
  <c r="CI23" i="28" s="1"/>
  <c r="CI50" i="28"/>
  <c r="CI53" i="28" s="1"/>
  <c r="CI55" i="32" l="1"/>
  <c r="CJ54" i="32" s="1"/>
  <c r="CJ55" i="32" s="1"/>
  <c r="CK54" i="32" s="1"/>
  <c r="CI45" i="1"/>
  <c r="CI63" i="28"/>
  <c r="CI64" i="28" s="1"/>
  <c r="CI65" i="28" s="1"/>
  <c r="CJ57" i="32" l="1"/>
  <c r="CJ58" i="32"/>
  <c r="CI58" i="32"/>
  <c r="CI57" i="32"/>
  <c r="CI50" i="1" l="1"/>
  <c r="CI37" i="1"/>
  <c r="CI49" i="1"/>
  <c r="CI57" i="1" s="1"/>
  <c r="CI54" i="1" l="1"/>
  <c r="CI55" i="1" l="1"/>
  <c r="CI35" i="28"/>
  <c r="CI39" i="28" s="1"/>
  <c r="CI54" i="28" s="1"/>
  <c r="CI55" i="28" s="1"/>
  <c r="CM9" i="25" l="1"/>
  <c r="CM8" i="25"/>
  <c r="CM7" i="25"/>
  <c r="CM6" i="25" l="1"/>
  <c r="CI10" i="25"/>
  <c r="CI12" i="25" s="1"/>
  <c r="CM10" i="25"/>
  <c r="CM12" i="25" l="1"/>
  <c r="CI52" i="29" l="1"/>
  <c r="CI55" i="29" s="1"/>
  <c r="CI61" i="29" l="1"/>
  <c r="CI60" i="29"/>
  <c r="CI58" i="29"/>
  <c r="CI56" i="29"/>
  <c r="CI57" i="29"/>
  <c r="CI59" i="29"/>
  <c r="CI31" i="29" l="1"/>
  <c r="CI43" i="29" s="1"/>
  <c r="CI34" i="29" l="1"/>
  <c r="CI39" i="29"/>
  <c r="CI13" i="29" l="1"/>
  <c r="CI21" i="29" s="1"/>
  <c r="CI18" i="29" l="1"/>
  <c r="CI23" i="29"/>
  <c r="CI14" i="29"/>
  <c r="CI17" i="29"/>
  <c r="CI22" i="29"/>
  <c r="CI19" i="29"/>
  <c r="CI16" i="29"/>
  <c r="CI20" i="29"/>
  <c r="CH26" i="29" l="1"/>
  <c r="CH68" i="29" l="1"/>
  <c r="CH10" i="29" l="1"/>
  <c r="CH48" i="29"/>
  <c r="CH46" i="29"/>
  <c r="CG52" i="29"/>
  <c r="CG61" i="29" s="1"/>
  <c r="CH49" i="29"/>
  <c r="CH47" i="29"/>
  <c r="CH50" i="29"/>
  <c r="CH51" i="29"/>
  <c r="CG58" i="29" l="1"/>
  <c r="CH6" i="29"/>
  <c r="CG60" i="29"/>
  <c r="CG55" i="29"/>
  <c r="CG59" i="29"/>
  <c r="CH52" i="29"/>
  <c r="CH56" i="29" s="1"/>
  <c r="CG57" i="29"/>
  <c r="CH9" i="29"/>
  <c r="CG56" i="29"/>
  <c r="CH7" i="29"/>
  <c r="CH12" i="29"/>
  <c r="CH27" i="29"/>
  <c r="CH31" i="29" s="1"/>
  <c r="CG31" i="29"/>
  <c r="CH58" i="29" l="1"/>
  <c r="CH55" i="29"/>
  <c r="CH8" i="29"/>
  <c r="CH39" i="29"/>
  <c r="CH43" i="29"/>
  <c r="CH34" i="29"/>
  <c r="CH11" i="29"/>
  <c r="CG43" i="29"/>
  <c r="CG34" i="29"/>
  <c r="CH57" i="29"/>
  <c r="CG13" i="29"/>
  <c r="CH60" i="29"/>
  <c r="CH61" i="29"/>
  <c r="CG39" i="29"/>
  <c r="CH59" i="29"/>
  <c r="CH38" i="29" l="1"/>
  <c r="CG14" i="29"/>
  <c r="CH13" i="29"/>
  <c r="CH18" i="29" s="1"/>
  <c r="CG23" i="29"/>
  <c r="CG20" i="29"/>
  <c r="CG22" i="29"/>
  <c r="CG19" i="29"/>
  <c r="CG17" i="29"/>
  <c r="CG16" i="29"/>
  <c r="CG21" i="29"/>
  <c r="CG18" i="29"/>
  <c r="CH21" i="29" l="1"/>
  <c r="CH23" i="29"/>
  <c r="CH14" i="29"/>
  <c r="CH20" i="29"/>
  <c r="CH17" i="29"/>
  <c r="CH16" i="29"/>
  <c r="CH19" i="29"/>
  <c r="CH22" i="29"/>
  <c r="CH41" i="29" l="1"/>
  <c r="CH42" i="29"/>
  <c r="CH40" i="29"/>
  <c r="CK31" i="29" l="1"/>
  <c r="CK43" i="29" s="1"/>
  <c r="CK34" i="29" l="1"/>
  <c r="CK52" i="29"/>
  <c r="CK39" i="29"/>
  <c r="CK61" i="29" l="1"/>
  <c r="CK57" i="29"/>
  <c r="CK55" i="29"/>
  <c r="CK58" i="29"/>
  <c r="CK13" i="29"/>
  <c r="CK18" i="29" s="1"/>
  <c r="CK59" i="29"/>
  <c r="CK56" i="29"/>
  <c r="CK60" i="29"/>
  <c r="CK23" i="29" l="1"/>
  <c r="CK20" i="29"/>
  <c r="CK19" i="29"/>
  <c r="CK22" i="29"/>
  <c r="CK17" i="29"/>
  <c r="CK16" i="29"/>
  <c r="CK21" i="29"/>
  <c r="CK12" i="32" l="1"/>
  <c r="CL12" i="32"/>
  <c r="CK16" i="32"/>
  <c r="CL16" i="32"/>
  <c r="CK8" i="32"/>
  <c r="CL8" i="32"/>
  <c r="CM16" i="32" l="1"/>
  <c r="CM12" i="32"/>
  <c r="CM8" i="32"/>
  <c r="CM32" i="25"/>
  <c r="CM16" i="1"/>
  <c r="CL38" i="32" l="1"/>
  <c r="CL27" i="32"/>
  <c r="CK15" i="32" l="1"/>
  <c r="CL15" i="32"/>
  <c r="CK39" i="32"/>
  <c r="CL39" i="32"/>
  <c r="CK34" i="32"/>
  <c r="CL34" i="32"/>
  <c r="CK42" i="32"/>
  <c r="CL42" i="32"/>
  <c r="CK19" i="32"/>
  <c r="CL19" i="32"/>
  <c r="CK41" i="32"/>
  <c r="CL41" i="32"/>
  <c r="CK23" i="32"/>
  <c r="CL23" i="32"/>
  <c r="CK44" i="32"/>
  <c r="CK66" i="32" s="1"/>
  <c r="CL44" i="32"/>
  <c r="CL66" i="32" s="1"/>
  <c r="CK21" i="32"/>
  <c r="CL21" i="32"/>
  <c r="CK43" i="32"/>
  <c r="CL43" i="32"/>
  <c r="CK30" i="32"/>
  <c r="CL30" i="32"/>
  <c r="CK51" i="32"/>
  <c r="CL51" i="32"/>
  <c r="CK11" i="32"/>
  <c r="CL11" i="32"/>
  <c r="CK9" i="32"/>
  <c r="CL9" i="32"/>
  <c r="CK10" i="32"/>
  <c r="CL10" i="32"/>
  <c r="CK31" i="32"/>
  <c r="CK60" i="32"/>
  <c r="CL60" i="32"/>
  <c r="CK18" i="32"/>
  <c r="CL18" i="32"/>
  <c r="CK20" i="32"/>
  <c r="CL20" i="32"/>
  <c r="CK22" i="32"/>
  <c r="CL22" i="32"/>
  <c r="CK29" i="32"/>
  <c r="CL29" i="32"/>
  <c r="CK13" i="32"/>
  <c r="CL13" i="32"/>
  <c r="CK32" i="32"/>
  <c r="CK61" i="32"/>
  <c r="CL61" i="32"/>
  <c r="CK27" i="32"/>
  <c r="CK35" i="27"/>
  <c r="CK49" i="27"/>
  <c r="CK38" i="32"/>
  <c r="CL49" i="32" l="1"/>
  <c r="CM42" i="32"/>
  <c r="CM61" i="32"/>
  <c r="CM60" i="32"/>
  <c r="CM44" i="32"/>
  <c r="CM39" i="32"/>
  <c r="CM34" i="32"/>
  <c r="CM31" i="32"/>
  <c r="CM22" i="32"/>
  <c r="CM13" i="32"/>
  <c r="CM10" i="32"/>
  <c r="CM9" i="32"/>
  <c r="CM18" i="32"/>
  <c r="CL35" i="32"/>
  <c r="CM20" i="32"/>
  <c r="CM11" i="32"/>
  <c r="CM23" i="32"/>
  <c r="CM51" i="32"/>
  <c r="CM19" i="32"/>
  <c r="CM43" i="32"/>
  <c r="CM21" i="32"/>
  <c r="CM32" i="32"/>
  <c r="CM41" i="32"/>
  <c r="CM29" i="32"/>
  <c r="CL66" i="27"/>
  <c r="CM66" i="27" s="1"/>
  <c r="CM30" i="32"/>
  <c r="CM15" i="32"/>
  <c r="CK49" i="32"/>
  <c r="CM38" i="32"/>
  <c r="CK66" i="27"/>
  <c r="CM66" i="32"/>
  <c r="CK35" i="32"/>
  <c r="CM27" i="32"/>
  <c r="CM49" i="32" l="1"/>
  <c r="CM35" i="32"/>
  <c r="CM24" i="1" l="1"/>
  <c r="CM13" i="1"/>
  <c r="CM17" i="1"/>
  <c r="CM31" i="1"/>
  <c r="CK68" i="28" l="1"/>
  <c r="CM6" i="1"/>
  <c r="CK46" i="1"/>
  <c r="CM10" i="1"/>
  <c r="CK48" i="1"/>
  <c r="CM12" i="1"/>
  <c r="CK76" i="29"/>
  <c r="CK78" i="29"/>
  <c r="CM5" i="1"/>
  <c r="CK14" i="29"/>
  <c r="CK47" i="1"/>
  <c r="CM11" i="1"/>
  <c r="CM33" i="25"/>
  <c r="CM14" i="1"/>
  <c r="CK25" i="1"/>
  <c r="CM25" i="1" s="1"/>
  <c r="CM23" i="1"/>
  <c r="CM28" i="1"/>
  <c r="CK79" i="29" l="1"/>
  <c r="CK77" i="29"/>
  <c r="CM46" i="1"/>
  <c r="CM48" i="1"/>
  <c r="CM47" i="1"/>
  <c r="CM15" i="1"/>
  <c r="CM7" i="1"/>
  <c r="CK44" i="1"/>
  <c r="CM18" i="1"/>
  <c r="CK80" i="29" l="1"/>
  <c r="CK81" i="29" s="1"/>
  <c r="CM44" i="1"/>
  <c r="CK45" i="1"/>
  <c r="CK53" i="1"/>
  <c r="CM20" i="1"/>
  <c r="CM45" i="1" s="1"/>
  <c r="CK27" i="1"/>
  <c r="CK34" i="25"/>
  <c r="CM31" i="25"/>
  <c r="CM34" i="25" s="1"/>
  <c r="CK30" i="1" l="1"/>
  <c r="CM27" i="1"/>
  <c r="CM49" i="1" s="1"/>
  <c r="CK49" i="1"/>
  <c r="CM53" i="1"/>
  <c r="CK54" i="1"/>
  <c r="CM54" i="1" s="1"/>
  <c r="CK57" i="1" l="1"/>
  <c r="CM57" i="1" s="1"/>
  <c r="CM59" i="1" s="1"/>
  <c r="CK55" i="1"/>
  <c r="CM55" i="1" s="1"/>
  <c r="CM60" i="1" s="1"/>
  <c r="CK6" i="27"/>
  <c r="CL6" i="27" s="1"/>
  <c r="CK33" i="1"/>
  <c r="CM30" i="1"/>
  <c r="CL6" i="32" l="1"/>
  <c r="CL24" i="32" s="1"/>
  <c r="CL53" i="32" s="1"/>
  <c r="CL24" i="27"/>
  <c r="CM6" i="27"/>
  <c r="CK50" i="1"/>
  <c r="CK37" i="1"/>
  <c r="CK36" i="1"/>
  <c r="CM33" i="1"/>
  <c r="CK24" i="27"/>
  <c r="CK53" i="27" s="1"/>
  <c r="CK55" i="27" s="1"/>
  <c r="CK57" i="27" s="1"/>
  <c r="CK7" i="28" s="1"/>
  <c r="CK6" i="32"/>
  <c r="CK69" i="28"/>
  <c r="CK60" i="28"/>
  <c r="CK62" i="28"/>
  <c r="CK67" i="28"/>
  <c r="CK61" i="28"/>
  <c r="CK59" i="28"/>
  <c r="CN6" i="32" l="1"/>
  <c r="CL53" i="27"/>
  <c r="CM24" i="27"/>
  <c r="CK70" i="28"/>
  <c r="CK24" i="32"/>
  <c r="CM6" i="32"/>
  <c r="CK16" i="28"/>
  <c r="CK23" i="28" s="1"/>
  <c r="CM50" i="1"/>
  <c r="CK50" i="28"/>
  <c r="CK53" i="28" s="1"/>
  <c r="CK63" i="28" s="1"/>
  <c r="CK64" i="28" s="1"/>
  <c r="CK65" i="28" s="1"/>
  <c r="CN24" i="32" l="1"/>
  <c r="CM53" i="27"/>
  <c r="CL55" i="27"/>
  <c r="CK53" i="32"/>
  <c r="CM24" i="32"/>
  <c r="CN53" i="32" l="1"/>
  <c r="CL57" i="27"/>
  <c r="CL7" i="28" s="1"/>
  <c r="CM55" i="27"/>
  <c r="CK55" i="32"/>
  <c r="CL54" i="32" s="1"/>
  <c r="CL55" i="32" s="1"/>
  <c r="CL58" i="32" s="1"/>
  <c r="CM53" i="32"/>
  <c r="CM55" i="32" s="1"/>
  <c r="CO54" i="27" l="1"/>
  <c r="CN54" i="27"/>
  <c r="CN55" i="27" s="1"/>
  <c r="CN57" i="27" s="1"/>
  <c r="CM57" i="27"/>
  <c r="CM57" i="32"/>
  <c r="CR54" i="32"/>
  <c r="CN54" i="32"/>
  <c r="CN55" i="32" s="1"/>
  <c r="CO54" i="32" s="1"/>
  <c r="CL65" i="28"/>
  <c r="CM65" i="28" s="1"/>
  <c r="CM61" i="1" s="1"/>
  <c r="CL16" i="28"/>
  <c r="CM7" i="28"/>
  <c r="CL57" i="32"/>
  <c r="CK35" i="28"/>
  <c r="CK39" i="28" s="1"/>
  <c r="CK54" i="28" s="1"/>
  <c r="CK55" i="28" s="1"/>
  <c r="CK57" i="32"/>
  <c r="CK58" i="32"/>
  <c r="CN58" i="32" l="1"/>
  <c r="CN57" i="32"/>
  <c r="CL23" i="28"/>
  <c r="CM16" i="28"/>
  <c r="CM23" i="28" l="1"/>
  <c r="CM92" i="29"/>
  <c r="CM91" i="29"/>
  <c r="CN7" i="28" l="1"/>
  <c r="CM90" i="29"/>
  <c r="CM93" i="29" s="1"/>
  <c r="CN16" i="28" l="1"/>
  <c r="CN65" i="28"/>
  <c r="CN23" i="28" l="1"/>
  <c r="CN55" i="28" l="1"/>
  <c r="CM100" i="29" l="1"/>
  <c r="CM106" i="29" s="1"/>
  <c r="CL78" i="29"/>
  <c r="CL76" i="29"/>
  <c r="CL77" i="29" l="1"/>
  <c r="CM76" i="29"/>
  <c r="CM77" i="29" s="1"/>
  <c r="CL79" i="29"/>
  <c r="CL80" i="29"/>
  <c r="CL81" i="29" s="1"/>
  <c r="CL35" i="28" l="1"/>
  <c r="CM33" i="28"/>
  <c r="CL39" i="28" l="1"/>
  <c r="CM35" i="28"/>
  <c r="CL54" i="28" l="1"/>
  <c r="CM39" i="28"/>
  <c r="CM54" i="28" l="1"/>
  <c r="CM55" i="28" s="1"/>
  <c r="CL55" i="28"/>
  <c r="CM66" i="29"/>
  <c r="CM78" i="29" l="1"/>
  <c r="CM80" i="29" l="1"/>
  <c r="CM81" i="29" s="1"/>
  <c r="CM79" i="29"/>
  <c r="CM65" i="32" l="1"/>
  <c r="CM65" i="27"/>
  <c r="CM8" i="29" l="1"/>
  <c r="CM51" i="29"/>
  <c r="CM26" i="29"/>
  <c r="CM11" i="29"/>
  <c r="CM47" i="29"/>
  <c r="CM68" i="29" l="1"/>
  <c r="CM12" i="29" l="1"/>
  <c r="CM10" i="29"/>
  <c r="CM9" i="29"/>
  <c r="CL13" i="29"/>
  <c r="CL20" i="29" s="1"/>
  <c r="CM6" i="29"/>
  <c r="CM48" i="29"/>
  <c r="CM27" i="29"/>
  <c r="CL31" i="29"/>
  <c r="CM46" i="29"/>
  <c r="CL52" i="29"/>
  <c r="CL58" i="29" s="1"/>
  <c r="CM49" i="29"/>
  <c r="CM50" i="29"/>
  <c r="CM7" i="29"/>
  <c r="CL57" i="29" l="1"/>
  <c r="CL59" i="29"/>
  <c r="CL17" i="29"/>
  <c r="CL39" i="29"/>
  <c r="CL43" i="29"/>
  <c r="CL34" i="29"/>
  <c r="CM31" i="29"/>
  <c r="CL19" i="29"/>
  <c r="CL16" i="29"/>
  <c r="CL23" i="29"/>
  <c r="CL14" i="29"/>
  <c r="CM13" i="29"/>
  <c r="CL18" i="29"/>
  <c r="CL21" i="29"/>
  <c r="CM52" i="29"/>
  <c r="CM57" i="29" s="1"/>
  <c r="CM55" i="29"/>
  <c r="CL22" i="29"/>
  <c r="CL55" i="29"/>
  <c r="CL61" i="29"/>
  <c r="CL56" i="29"/>
  <c r="CL60" i="29"/>
  <c r="CM43" i="29" l="1"/>
  <c r="CM34" i="29"/>
  <c r="CM23" i="29"/>
  <c r="CM14" i="29"/>
  <c r="CM21" i="29"/>
  <c r="CM18" i="29"/>
  <c r="CM22" i="29"/>
  <c r="CM39" i="29"/>
  <c r="CM58" i="29"/>
  <c r="CM61" i="29"/>
  <c r="CM56" i="29"/>
  <c r="CM60" i="29"/>
  <c r="CM19" i="29"/>
  <c r="CM20" i="29"/>
  <c r="CM59" i="29"/>
  <c r="CM17" i="29"/>
  <c r="CM16" i="29"/>
  <c r="CM38" i="29" l="1"/>
  <c r="CN52" i="29" l="1"/>
  <c r="CN55" i="29" s="1"/>
  <c r="CN58" i="29" l="1"/>
  <c r="CN61" i="29"/>
  <c r="CN60" i="29"/>
  <c r="CN57" i="29"/>
  <c r="CN56" i="29"/>
  <c r="CN59" i="29"/>
  <c r="CN31" i="29" l="1"/>
  <c r="CN34" i="29" s="1"/>
  <c r="CN39" i="29" l="1"/>
  <c r="CN43" i="29"/>
  <c r="CN13" i="29" l="1"/>
  <c r="CN18" i="29" s="1"/>
  <c r="CN14" i="29"/>
  <c r="CN23" i="29"/>
  <c r="CN22" i="29"/>
  <c r="CN21" i="29"/>
  <c r="CN20" i="29" l="1"/>
  <c r="CN19" i="29"/>
  <c r="CN17" i="29"/>
  <c r="CN16" i="29"/>
  <c r="CM37" i="1" l="1"/>
  <c r="CM36" i="1"/>
  <c r="CR52" i="28" l="1"/>
  <c r="CQ53" i="28"/>
  <c r="CR53" i="28" l="1"/>
  <c r="CQ63" i="28"/>
  <c r="CQ54" i="28"/>
  <c r="CR54" i="28" l="1"/>
  <c r="CR55" i="28" s="1"/>
  <c r="CQ55" i="28"/>
  <c r="CR63" i="28"/>
  <c r="CQ64" i="28"/>
  <c r="CR64" i="28" l="1"/>
  <c r="CQ65" i="28"/>
  <c r="CR65" i="28" s="1"/>
  <c r="CM41" i="29" l="1"/>
  <c r="CM42" i="29"/>
  <c r="CM40" i="29"/>
  <c r="CR9" i="25" l="1"/>
  <c r="CR8" i="25"/>
  <c r="CR7" i="25"/>
  <c r="CO10" i="25" l="1"/>
  <c r="CR6" i="25"/>
  <c r="CO12" i="25" l="1"/>
  <c r="CR12" i="25" s="1"/>
  <c r="CR10" i="25"/>
  <c r="CO40" i="32" l="1"/>
  <c r="CR40" i="32" s="1"/>
  <c r="CO28" i="32" l="1"/>
  <c r="CR28" i="32" l="1"/>
  <c r="CR47" i="29" l="1"/>
  <c r="CR46" i="29" l="1"/>
  <c r="CR48" i="29"/>
  <c r="CR26" i="29"/>
  <c r="CR50" i="29"/>
  <c r="CR27" i="29" l="1"/>
  <c r="CO31" i="29"/>
  <c r="CO43" i="29" l="1"/>
  <c r="CO34" i="29"/>
  <c r="CO39" i="29"/>
  <c r="CR31" i="29"/>
  <c r="CR43" i="29" l="1"/>
  <c r="CR34" i="29"/>
  <c r="CR39" i="29"/>
  <c r="CO52" i="29" l="1"/>
  <c r="CO60" i="29" s="1"/>
  <c r="CR51" i="29"/>
  <c r="CR49" i="29"/>
  <c r="CR12" i="29"/>
  <c r="CR7" i="29"/>
  <c r="CR10" i="29"/>
  <c r="CR6" i="29"/>
  <c r="CR9" i="29"/>
  <c r="CR8" i="29"/>
  <c r="CO58" i="29" l="1"/>
  <c r="CO13" i="29"/>
  <c r="CR52" i="29"/>
  <c r="CR58" i="29" s="1"/>
  <c r="CR11" i="29"/>
  <c r="CO21" i="29"/>
  <c r="CO56" i="29"/>
  <c r="CO61" i="29"/>
  <c r="CO55" i="29"/>
  <c r="CO57" i="29"/>
  <c r="CO59" i="29"/>
  <c r="CR60" i="29" l="1"/>
  <c r="CO18" i="29"/>
  <c r="CO23" i="29"/>
  <c r="CR13" i="29"/>
  <c r="CO20" i="29"/>
  <c r="CO22" i="29"/>
  <c r="CO16" i="29"/>
  <c r="CO19" i="29"/>
  <c r="CO17" i="29"/>
  <c r="CR61" i="29"/>
  <c r="CR56" i="29"/>
  <c r="CR59" i="29"/>
  <c r="CR57" i="29"/>
  <c r="CR55" i="29"/>
  <c r="CR18" i="29" l="1"/>
  <c r="CR23" i="29"/>
  <c r="CR22" i="29"/>
  <c r="CR17" i="29"/>
  <c r="CR19" i="29"/>
  <c r="CR20" i="29"/>
  <c r="CR16" i="29"/>
  <c r="CR21" i="29"/>
  <c r="CO18" i="32" l="1"/>
  <c r="CR18" i="32" s="1"/>
  <c r="CO68" i="28" l="1"/>
  <c r="CR6" i="1"/>
  <c r="CR28" i="1"/>
  <c r="CO33" i="25" l="1"/>
  <c r="CR33" i="25" s="1"/>
  <c r="CR14" i="1"/>
  <c r="CR23" i="1"/>
  <c r="CR5" i="1" l="1"/>
  <c r="CR14" i="29" s="1"/>
  <c r="CO76" i="29"/>
  <c r="CO77" i="29" s="1"/>
  <c r="CO7" i="1"/>
  <c r="CO14" i="29"/>
  <c r="CR7" i="1" l="1"/>
  <c r="CR44" i="1" s="1"/>
  <c r="CO44" i="1"/>
  <c r="CO78" i="29"/>
  <c r="CO79" i="29" l="1"/>
  <c r="CR10" i="1"/>
  <c r="CR46" i="1" s="1"/>
  <c r="CO46" i="1"/>
  <c r="CO31" i="32" l="1"/>
  <c r="CR31" i="32" s="1"/>
  <c r="CR13" i="1" l="1"/>
  <c r="CR17" i="1"/>
  <c r="CR16" i="1" l="1"/>
  <c r="CO32" i="25"/>
  <c r="CR32" i="25" s="1"/>
  <c r="CR15" i="1"/>
  <c r="CO31" i="25"/>
  <c r="CR12" i="1"/>
  <c r="CR48" i="1" s="1"/>
  <c r="CO48" i="1"/>
  <c r="CO47" i="1"/>
  <c r="CR11" i="1"/>
  <c r="CR47" i="1" s="1"/>
  <c r="CO18" i="1"/>
  <c r="CR18" i="1" l="1"/>
  <c r="CO20" i="1"/>
  <c r="CO80" i="29"/>
  <c r="CO81" i="29" s="1"/>
  <c r="CO34" i="25"/>
  <c r="CR31" i="25"/>
  <c r="CR34" i="25" s="1"/>
  <c r="CO45" i="1" l="1"/>
  <c r="CR20" i="1"/>
  <c r="CR45" i="1" s="1"/>
  <c r="CR53" i="1" l="1"/>
  <c r="CO61" i="32" l="1"/>
  <c r="CR61" i="32" s="1"/>
  <c r="CO60" i="32"/>
  <c r="CR60" i="32" s="1"/>
  <c r="CO44" i="32"/>
  <c r="CO43" i="32"/>
  <c r="CR43" i="32" s="1"/>
  <c r="CO42" i="32"/>
  <c r="CR42" i="32" s="1"/>
  <c r="CO41" i="32"/>
  <c r="CR41" i="32" s="1"/>
  <c r="CO39" i="32"/>
  <c r="CR39" i="32" s="1"/>
  <c r="CO32" i="32"/>
  <c r="CR32" i="32" s="1"/>
  <c r="CO30" i="32"/>
  <c r="CR30" i="32" s="1"/>
  <c r="CO29" i="32"/>
  <c r="CR29" i="32" s="1"/>
  <c r="CO23" i="32"/>
  <c r="CR23" i="32" s="1"/>
  <c r="CO22" i="32"/>
  <c r="CR22" i="32" s="1"/>
  <c r="CO21" i="32"/>
  <c r="CR21" i="32" s="1"/>
  <c r="CO20" i="32"/>
  <c r="CR20" i="32" s="1"/>
  <c r="CO19" i="32"/>
  <c r="CR19" i="32" s="1"/>
  <c r="CO16" i="32"/>
  <c r="CR16" i="32" s="1"/>
  <c r="CO15" i="32"/>
  <c r="CR15" i="32" s="1"/>
  <c r="CO13" i="32"/>
  <c r="CR13" i="32" s="1"/>
  <c r="CO10" i="32"/>
  <c r="CR10" i="32" s="1"/>
  <c r="CO9" i="32"/>
  <c r="CR9" i="32" s="1"/>
  <c r="CO12" i="32"/>
  <c r="CR12" i="32" s="1"/>
  <c r="CO11" i="32"/>
  <c r="CR11" i="32" s="1"/>
  <c r="CO8" i="32"/>
  <c r="CR8" i="32" s="1"/>
  <c r="CO51" i="32"/>
  <c r="CR51" i="32" s="1"/>
  <c r="CO34" i="32"/>
  <c r="CR34" i="32" s="1"/>
  <c r="CO38" i="32" l="1"/>
  <c r="CO49" i="27"/>
  <c r="CO27" i="32"/>
  <c r="CO35" i="27"/>
  <c r="CO66" i="32"/>
  <c r="CR44" i="32"/>
  <c r="CO66" i="27" l="1"/>
  <c r="CR66" i="32"/>
  <c r="CR27" i="32"/>
  <c r="CO35" i="32"/>
  <c r="CR35" i="32" s="1"/>
  <c r="CR38" i="32"/>
  <c r="CO49" i="32"/>
  <c r="CR49" i="32" s="1"/>
  <c r="CR31" i="1" l="1"/>
  <c r="CR24" i="1" l="1"/>
  <c r="CO25" i="1"/>
  <c r="CR25" i="1" l="1"/>
  <c r="CO27" i="1"/>
  <c r="CO30" i="1" l="1"/>
  <c r="CR27" i="1"/>
  <c r="CR49" i="1" s="1"/>
  <c r="CO49" i="1"/>
  <c r="CO57" i="1" l="1"/>
  <c r="CR57" i="1" s="1"/>
  <c r="CO6" i="27"/>
  <c r="CO33" i="1"/>
  <c r="CR30" i="1"/>
  <c r="CR33" i="1" l="1"/>
  <c r="CO36" i="1"/>
  <c r="CO37" i="1"/>
  <c r="CO50" i="1"/>
  <c r="CO6" i="32"/>
  <c r="CO24" i="27"/>
  <c r="CO53" i="27" s="1"/>
  <c r="CO55" i="27" s="1"/>
  <c r="CO57" i="27" s="1"/>
  <c r="CO7" i="28" s="1"/>
  <c r="CR54" i="1"/>
  <c r="CO55" i="1"/>
  <c r="CR55" i="1" s="1"/>
  <c r="CR6" i="32" l="1"/>
  <c r="CO24" i="32"/>
  <c r="CR37" i="1"/>
  <c r="CR50" i="1"/>
  <c r="CR36" i="1"/>
  <c r="CO59" i="28"/>
  <c r="CO61" i="28"/>
  <c r="CO60" i="28"/>
  <c r="CO69" i="28"/>
  <c r="CO62" i="28"/>
  <c r="CO67" i="28"/>
  <c r="CO70" i="28" s="1"/>
  <c r="CO50" i="28" l="1"/>
  <c r="CO53" i="28" s="1"/>
  <c r="CO63" i="28" s="1"/>
  <c r="CO64" i="28" s="1"/>
  <c r="CO65" i="28" s="1"/>
  <c r="CO16" i="28"/>
  <c r="CO23" i="28" s="1"/>
  <c r="CO53" i="32"/>
  <c r="CR24" i="32"/>
  <c r="CO55" i="32" l="1"/>
  <c r="CR53" i="32"/>
  <c r="CR55" i="32" s="1"/>
  <c r="CR57" i="32" s="1"/>
  <c r="CO57" i="32" l="1"/>
  <c r="CO58" i="32"/>
  <c r="CO35" i="28" l="1"/>
  <c r="CO39" i="28" s="1"/>
  <c r="CO54" i="28" s="1"/>
  <c r="CO55" i="28" s="1"/>
</calcChain>
</file>

<file path=xl/sharedStrings.xml><?xml version="1.0" encoding="utf-8"?>
<sst xmlns="http://schemas.openxmlformats.org/spreadsheetml/2006/main" count="707" uniqueCount="257">
  <si>
    <t>Quarter Ended</t>
  </si>
  <si>
    <t>Sales and marketing</t>
  </si>
  <si>
    <t xml:space="preserve">General and administrative </t>
  </si>
  <si>
    <t>ASSETS</t>
  </si>
  <si>
    <t>Cash and cash equivalents</t>
  </si>
  <si>
    <t>Yr Ended</t>
  </si>
  <si>
    <t>FY'15</t>
  </si>
  <si>
    <t>FY'14</t>
  </si>
  <si>
    <t>FY'13</t>
  </si>
  <si>
    <t>FY'12</t>
  </si>
  <si>
    <t>FY'11</t>
  </si>
  <si>
    <t>FY'10</t>
  </si>
  <si>
    <t>Research and development</t>
  </si>
  <si>
    <t xml:space="preserve">Total operating expenses </t>
  </si>
  <si>
    <t>Total revenue</t>
  </si>
  <si>
    <t>Gross margin</t>
  </si>
  <si>
    <t>R&amp;D % of total revenue</t>
  </si>
  <si>
    <t>S&amp;M % of total revenue</t>
  </si>
  <si>
    <t>Tax rate</t>
  </si>
  <si>
    <t>G&amp;A % of total revenue</t>
  </si>
  <si>
    <t>Operating margin</t>
  </si>
  <si>
    <t>Other</t>
  </si>
  <si>
    <t>FY'16</t>
  </si>
  <si>
    <t>General and administrative</t>
  </si>
  <si>
    <t>Net income (loss)</t>
  </si>
  <si>
    <t>Depreciation and amortization</t>
  </si>
  <si>
    <t>Prepaid expenses and other current assets</t>
  </si>
  <si>
    <t>Accounts payable</t>
  </si>
  <si>
    <t>Short-term investments</t>
  </si>
  <si>
    <t>Total Current Assets</t>
  </si>
  <si>
    <t>Total Current Liabilities</t>
  </si>
  <si>
    <t>Total Liabilities</t>
  </si>
  <si>
    <t>Treasury stock, at cost</t>
  </si>
  <si>
    <t>Net cash (used in) provided by operating activities</t>
  </si>
  <si>
    <t>Net cash (used in) provided by investing activities</t>
  </si>
  <si>
    <t>Net cash (used in) provided by financing activities</t>
  </si>
  <si>
    <t>Revenue by region:</t>
  </si>
  <si>
    <t>Germany</t>
  </si>
  <si>
    <t>Key Metrics</t>
  </si>
  <si>
    <t>(unaudited, in thousands)</t>
  </si>
  <si>
    <t>FY'06</t>
  </si>
  <si>
    <t>FY'07</t>
  </si>
  <si>
    <t>FY'08</t>
  </si>
  <si>
    <t>FY'09</t>
  </si>
  <si>
    <t>IPG Photonics Corporation</t>
  </si>
  <si>
    <t>Cost of sales</t>
  </si>
  <si>
    <t>Loss (gain) on foreign exchange</t>
  </si>
  <si>
    <t>Interest income (expense), net</t>
  </si>
  <si>
    <t>Basic</t>
  </si>
  <si>
    <t>Diluted</t>
  </si>
  <si>
    <t>Step-up of inventory</t>
  </si>
  <si>
    <t>Amortization of intangible assets</t>
  </si>
  <si>
    <t>Accounts receivable, net</t>
  </si>
  <si>
    <t>Inventories</t>
  </si>
  <si>
    <t>Prepaid income taxes</t>
  </si>
  <si>
    <t>LIABILITIES AND EQUITY</t>
  </si>
  <si>
    <t>Current portion of long-term debt</t>
  </si>
  <si>
    <t>Accrued expenses and other liabilities</t>
  </si>
  <si>
    <t>Income taxes payable</t>
  </si>
  <si>
    <t>Total equity</t>
  </si>
  <si>
    <t>Additional paid-in capital</t>
  </si>
  <si>
    <t>Retained earnings</t>
  </si>
  <si>
    <t>Provisions for inventory, warranty &amp; bad debt</t>
  </si>
  <si>
    <t>TOTAL</t>
  </si>
  <si>
    <t>OPERATING INCOME (LOSS)</t>
  </si>
  <si>
    <t>Total other income (expense)</t>
  </si>
  <si>
    <t>Proceeds from sales of property, plant and equipment</t>
  </si>
  <si>
    <t>Purchases of short-term investments</t>
  </si>
  <si>
    <t>Proceeds from short-term investments</t>
  </si>
  <si>
    <t>Acquisition of businesses, net of cash acquired</t>
  </si>
  <si>
    <t>Proceeds on long-term borrowings</t>
  </si>
  <si>
    <t>Principal payments on long-term borrowings</t>
  </si>
  <si>
    <t>Exercise of employee stock options and issuances under employee stock purchase plan</t>
  </si>
  <si>
    <t>Cash paid for interest</t>
  </si>
  <si>
    <t>Cash paid for income taxes</t>
  </si>
  <si>
    <t>Cumulative Quarter Ended</t>
  </si>
  <si>
    <t>Revolving line-of-credit facilities</t>
  </si>
  <si>
    <t>Purchase of intangible assets</t>
  </si>
  <si>
    <t>PROVISION FOR INCOME TAXES</t>
  </si>
  <si>
    <t>Proceeds from public offering, net of offering expenses</t>
  </si>
  <si>
    <t>Distributions to shareholders</t>
  </si>
  <si>
    <t>Deferred income taxes</t>
  </si>
  <si>
    <t>Stock-based compensation</t>
  </si>
  <si>
    <t>Unrealized losses (gains) on foreign currency transactions</t>
  </si>
  <si>
    <t>Changes in assets and liabilities that (used) provided cash:</t>
  </si>
  <si>
    <t>Accounts receivable</t>
  </si>
  <si>
    <t>Income and other taxes payable</t>
  </si>
  <si>
    <t>Proceeds from line-of-credit facilities</t>
  </si>
  <si>
    <t>Payments on line-of-credit facilities</t>
  </si>
  <si>
    <t>Purchase of treasury stock, at cost</t>
  </si>
  <si>
    <t>Common stock</t>
  </si>
  <si>
    <t>INVESTED CAPITAL</t>
  </si>
  <si>
    <t>Contingent purchase consideration</t>
  </si>
  <si>
    <t>NOPAT</t>
  </si>
  <si>
    <t>Return on equity</t>
  </si>
  <si>
    <t>Return on invested capital</t>
  </si>
  <si>
    <t>Return on invested capital, excluding cash</t>
  </si>
  <si>
    <t>China</t>
  </si>
  <si>
    <t>Japan</t>
  </si>
  <si>
    <t>Rest of World</t>
  </si>
  <si>
    <t>Revenue by region (% of total):</t>
  </si>
  <si>
    <t>Total backlog of orders</t>
  </si>
  <si>
    <t>Orders with firm shipment dates</t>
  </si>
  <si>
    <t>Frame agreements</t>
  </si>
  <si>
    <t>Materials processing</t>
  </si>
  <si>
    <t>Advanced applications</t>
  </si>
  <si>
    <t>Communications</t>
  </si>
  <si>
    <t>Medical</t>
  </si>
  <si>
    <t>Other applications</t>
  </si>
  <si>
    <t>Manufacturing operations</t>
  </si>
  <si>
    <t>Sales, service and marketing</t>
  </si>
  <si>
    <t>Revenue by application:</t>
  </si>
  <si>
    <t>Revenue by application (% of total):</t>
  </si>
  <si>
    <t>Revenue by product:</t>
  </si>
  <si>
    <t>Pulsed lasers</t>
  </si>
  <si>
    <t>QCW lasers</t>
  </si>
  <si>
    <t>Components and raw materials</t>
  </si>
  <si>
    <t>Work in-process</t>
  </si>
  <si>
    <t>Finished goods</t>
  </si>
  <si>
    <t>Notes receivable from stockholders</t>
  </si>
  <si>
    <t>Stock-Based Compensation, Acquisition Costs, and Other Charges</t>
  </si>
  <si>
    <t>Net margin</t>
  </si>
  <si>
    <t>FY'17</t>
  </si>
  <si>
    <t>Financial Data Workbook</t>
  </si>
  <si>
    <t>Contact:</t>
  </si>
  <si>
    <t xml:space="preserve">The financial data in this workbook should be read in conjunction with, and is qualified by reference to, IPG’s consolidated financial statements and </t>
  </si>
  <si>
    <t>related notes thereto, and the “Management’s Discussion and Analysis of Financial Condition and Results of Operation” included in the Forms 10-K</t>
  </si>
  <si>
    <t>and Forms 10-Q corresponding to the financial data in this workbook. The Forms 10-K and Forms 10-Q can be found at sec.gov or on the investor</t>
  </si>
  <si>
    <t>relations section of the company's website at investors.ipgphotonics.com.</t>
  </si>
  <si>
    <t>Increase in weighted average diluted shares outstanding</t>
  </si>
  <si>
    <t>Revenue</t>
  </si>
  <si>
    <t>Accrued compensation</t>
  </si>
  <si>
    <t>Customer deposits and deferred revenue</t>
  </si>
  <si>
    <t>Current portion of accrued warranty</t>
  </si>
  <si>
    <t>Other liabilities</t>
  </si>
  <si>
    <t>Foreign exchange impact on results (1)</t>
  </si>
  <si>
    <t>Gross profit</t>
  </si>
  <si>
    <t>Operating expenses</t>
  </si>
  <si>
    <t>Constant currency results (1)</t>
  </si>
  <si>
    <t>Revenue growth (year over year)</t>
  </si>
  <si>
    <t>Operating profit</t>
  </si>
  <si>
    <t>(1) Assumes exchange rates in current period were the same as the year-ago period</t>
  </si>
  <si>
    <t>% revenue from five largest customers (quarter data is cumulative)</t>
  </si>
  <si>
    <t>Cutting</t>
  </si>
  <si>
    <t>Total</t>
  </si>
  <si>
    <t>Devices shipped</t>
  </si>
  <si>
    <t>Total devices and customers</t>
  </si>
  <si>
    <t>Welding and brazing</t>
  </si>
  <si>
    <t>Marking and engraving</t>
  </si>
  <si>
    <t>Other materials processing</t>
  </si>
  <si>
    <t>United States</t>
  </si>
  <si>
    <t>Employees by function</t>
  </si>
  <si>
    <t>Employees by region</t>
  </si>
  <si>
    <t>FY'18</t>
  </si>
  <si>
    <t>Shares Repurchased</t>
  </si>
  <si>
    <t>Dollar Value of Shares that May Yet Be Purchased</t>
  </si>
  <si>
    <t>Long-lived assets by region</t>
  </si>
  <si>
    <t>Long-lived assets by region (% of total):</t>
  </si>
  <si>
    <t>Cash contributed by noncontrolling interests</t>
  </si>
  <si>
    <t>Other revenue (amplifiers, service, parts, accessories and change in deferred)</t>
  </si>
  <si>
    <t>High-power CW lasers (1 Kilowatt or Greater)</t>
  </si>
  <si>
    <t>Medium-power CW lasers (Less Than 1 Kilowatt)</t>
  </si>
  <si>
    <t>FY'19</t>
  </si>
  <si>
    <t>Consolidated Statements of Income</t>
  </si>
  <si>
    <t>Net sales</t>
  </si>
  <si>
    <t>Operating expenses:</t>
  </si>
  <si>
    <t>Operating income (loss)</t>
  </si>
  <si>
    <t>Other income (expense), net:</t>
  </si>
  <si>
    <t>Other income (expense), net</t>
  </si>
  <si>
    <t>Income (loss) before provision for income taxes</t>
  </si>
  <si>
    <t>Provision for income taxes</t>
  </si>
  <si>
    <t>Less: net income (loss) attributable to noncontrolling interests</t>
  </si>
  <si>
    <t>Preferred stock Accretion &amp; Beneficial Conversion Feature</t>
  </si>
  <si>
    <t>Net income (loss) attributable to IPG Photonics Corporation</t>
  </si>
  <si>
    <t>Net income (loss) attributable to IPG Photonics Corporation per share:</t>
  </si>
  <si>
    <t>Weighted average shares outstanding:</t>
  </si>
  <si>
    <t>Current assets:</t>
  </si>
  <si>
    <t>(unaudited, in thousands, except per share data)</t>
  </si>
  <si>
    <t>Consolidated Balance Sheets</t>
  </si>
  <si>
    <t>Deferred income taxes, net</t>
  </si>
  <si>
    <t>Goodwill</t>
  </si>
  <si>
    <t>Intangible assets, net</t>
  </si>
  <si>
    <t>Property, plant and equipment, net</t>
  </si>
  <si>
    <t>Other assets</t>
  </si>
  <si>
    <t>Total assets</t>
  </si>
  <si>
    <t>Current liabilities:</t>
  </si>
  <si>
    <t>Long-term debt, net of current portion</t>
  </si>
  <si>
    <t>Redeemable Noncontrolling Interests</t>
  </si>
  <si>
    <t>IPG Photonics Corporation equity:</t>
  </si>
  <si>
    <t>Noncontrolling interests</t>
  </si>
  <si>
    <t>Total liabilities and equity</t>
  </si>
  <si>
    <t>Days Sales Outstanding</t>
  </si>
  <si>
    <t>Days Inventory Outstanding</t>
  </si>
  <si>
    <t>Days Payable Outstanding</t>
  </si>
  <si>
    <t>Cash Conversion Cycle</t>
  </si>
  <si>
    <t>Total IPG Photonics Corporation equity</t>
  </si>
  <si>
    <t>Consolidated Statements of Cash Flows (Cumulative)</t>
  </si>
  <si>
    <t>Consolidated Statements of Cash Flows (Quarterly)</t>
  </si>
  <si>
    <t>Cash flows from operating activities:</t>
  </si>
  <si>
    <t>Cash flows from investing activities:</t>
  </si>
  <si>
    <t>Cash flow from financing activities:</t>
  </si>
  <si>
    <t>Effect of changes in exchange rates on cash, cash equivalents and restricted cash</t>
  </si>
  <si>
    <t>Net increase (decrease) in cash, cash equivalents and restricted cash</t>
  </si>
  <si>
    <t>Cash and cash equivalents — Beginning of period</t>
  </si>
  <si>
    <t>Cash, cash equivalents and restricted cash — End of period</t>
  </si>
  <si>
    <t>Supplemental disclosure of cash flow information:</t>
  </si>
  <si>
    <t>Share repurchase program:</t>
  </si>
  <si>
    <t>Cash and cash equivalents — End of period</t>
  </si>
  <si>
    <t>Stock-based compensation expense:</t>
  </si>
  <si>
    <t>(Unaudited)</t>
  </si>
  <si>
    <t>Total, excluding cash and short-term investments</t>
  </si>
  <si>
    <t>~40,000</t>
  </si>
  <si>
    <t>Goodwill impairment</t>
  </si>
  <si>
    <t>Laser and Non-Laser Systems</t>
  </si>
  <si>
    <t>Total long-lived assets by region</t>
  </si>
  <si>
    <t>FY'20</t>
  </si>
  <si>
    <t>Less: restricted cash included in other current assets and other assets</t>
  </si>
  <si>
    <t>&gt;39,000</t>
  </si>
  <si>
    <t>(508) 597-4713</t>
  </si>
  <si>
    <t>efedotoff@ipgphotonics.com</t>
  </si>
  <si>
    <t>Eugene Fedotoff</t>
  </si>
  <si>
    <t>FY'21</t>
  </si>
  <si>
    <t>FY'22</t>
  </si>
  <si>
    <t>Other long-term liabilities and deferred income taxes</t>
  </si>
  <si>
    <t xml:space="preserve">Excess tax benefit (detriment) on exercise of stock options included in net income
</t>
  </si>
  <si>
    <t>Purchase of non-controlling interests</t>
  </si>
  <si>
    <t>Tax effect of stock-based compensation</t>
  </si>
  <si>
    <t>Proceeds from divestiture, net of cash sold</t>
  </si>
  <si>
    <t>Gain on divestiture and sale of asset</t>
  </si>
  <si>
    <t>Impairment of long-lived assets</t>
  </si>
  <si>
    <t>Total stock based compensation</t>
  </si>
  <si>
    <t xml:space="preserve">Net stock based compensation </t>
  </si>
  <si>
    <t>Purchases of and deposits on property, plant and equipment</t>
  </si>
  <si>
    <t>Total employees</t>
  </si>
  <si>
    <t>Accumulated other comprehensive gain (loss)</t>
  </si>
  <si>
    <t>Other Asia</t>
  </si>
  <si>
    <t>&gt;49,000</t>
  </si>
  <si>
    <t>Cost of sales - Inventory provision and related charges</t>
  </si>
  <si>
    <t>Total acquisition-related costs and other non-recurring charges</t>
  </si>
  <si>
    <t>Acquisition-related costs:</t>
  </si>
  <si>
    <t>Other non-recurring charges:</t>
  </si>
  <si>
    <t>Impairment charges related to long-lived assets:</t>
  </si>
  <si>
    <t>FY'23</t>
  </si>
  <si>
    <t>Adjustments to reconcile net income (loss) to net cash provided by (used in) operating activities:</t>
  </si>
  <si>
    <t>North America</t>
  </si>
  <si>
    <t>Other Europe</t>
  </si>
  <si>
    <t>(unaudited; in thousands)</t>
  </si>
  <si>
    <r>
      <t xml:space="preserve">Net income (loss) excluding loss (gain) on foreign exchange and other items </t>
    </r>
    <r>
      <rPr>
        <vertAlign val="superscript"/>
        <sz val="8"/>
        <rFont val="Arial"/>
        <family val="2"/>
      </rPr>
      <t>(1)</t>
    </r>
  </si>
  <si>
    <r>
      <rPr>
        <vertAlign val="superscript"/>
        <sz val="8"/>
        <rFont val="Arial"/>
        <family val="2"/>
      </rPr>
      <t>(1)</t>
    </r>
    <r>
      <rPr>
        <sz val="8"/>
        <rFont val="Arial"/>
        <family val="2"/>
      </rPr>
      <t xml:space="preserve"> Refer to 'Reconciliation' tab for other charges</t>
    </r>
  </si>
  <si>
    <t>Senior Director, Investor Relations</t>
  </si>
  <si>
    <t>Weighted Average Price</t>
  </si>
  <si>
    <t>Restructuring charges (recoveries), net</t>
  </si>
  <si>
    <t>Impairment of long-lived assets and restructuring charges (recoveries), net</t>
  </si>
  <si>
    <t>&gt;42,400</t>
  </si>
  <si>
    <t>FY'24</t>
  </si>
  <si>
    <t>Gain on divestiture and sale of assets</t>
  </si>
  <si>
    <t>Second Quarter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</si>
</sst>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-* #,##0.00\ [$€-1]_-;\-* #,##0.00\ [$€-1]_-;_-* \-??\ [$€-1]_-"/>
    <numFmt numFmtId="167" formatCode="0.0%"/>
    <numFmt numFmtId="169" formatCode="_(* \&gt;#,##0_);_(* \(#,##0\);_(* &quot;-&quot;??_);_(@_)"/>
    <numFmt numFmtId="172" formatCode="[$-409]mmmm\ d\,\ yyyy;@"/>
    <numFmt numFmtId="173" formatCode="0.0000%"/>
  </numFmts>
  <fonts count="37" x14ac:knownFonts="1">
    <font>
      <sz val="10"/>
      <name val="Arial"/>
    </font>
    <font>
      <sz val="8"/>
      <color theme="1"/>
      <name val="Arial Narrow"/>
      <family val="2"/>
    </font>
    <font>
      <sz val="10"/>
      <name val="Arial"/>
      <family val="2"/>
    </font>
    <font>
      <sz val="12"/>
      <name val="Tms Rmn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5.95"/>
      <color indexed="8"/>
      <name val="Times New Roman"/>
      <family val="1"/>
    </font>
    <font>
      <sz val="11"/>
      <color indexed="10"/>
      <name val="Calibri"/>
      <family val="2"/>
    </font>
    <font>
      <b/>
      <sz val="8"/>
      <name val="Arial"/>
      <family val="2"/>
    </font>
    <font>
      <u val="doubleAccounting"/>
      <sz val="8"/>
      <name val="Arial"/>
      <family val="2"/>
    </font>
    <font>
      <sz val="8"/>
      <color theme="3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u/>
      <sz val="10"/>
      <color theme="10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sz val="8"/>
      <color rgb="FF134A8F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4D2E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double">
        <color indexed="64"/>
      </bottom>
      <diagonal/>
    </border>
  </borders>
  <cellStyleXfs count="5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6" fontId="2" fillId="0" borderId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4" fillId="0" borderId="3" applyNumberFormat="0" applyAlignment="0" applyProtection="0">
      <alignment horizontal="left" vertical="center"/>
    </xf>
    <xf numFmtId="0" fontId="4" fillId="0" borderId="4">
      <alignment horizontal="left" vertical="center"/>
    </xf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8" applyNumberFormat="0" applyFill="0" applyAlignment="0" applyProtection="0"/>
    <xf numFmtId="0" fontId="18" fillId="22" borderId="0" applyNumberFormat="0" applyBorder="0" applyAlignment="0" applyProtection="0"/>
    <xf numFmtId="0" fontId="6" fillId="23" borderId="9" applyNumberFormat="0" applyFont="0" applyAlignment="0" applyProtection="0"/>
    <xf numFmtId="0" fontId="19" fillId="20" borderId="10" applyNumberFormat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43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" fillId="0" borderId="0"/>
    <xf numFmtId="9" fontId="2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3" fontId="34" fillId="0" borderId="0" applyFont="0" applyFill="0" applyBorder="0" applyAlignment="0" applyProtection="0"/>
  </cellStyleXfs>
  <cellXfs count="124">
    <xf numFmtId="0" fontId="0" fillId="0" borderId="0" xfId="0"/>
    <xf numFmtId="0" fontId="5" fillId="0" borderId="0" xfId="0" applyFont="1"/>
    <xf numFmtId="0" fontId="24" fillId="0" borderId="0" xfId="0" applyFont="1" applyAlignment="1">
      <alignment horizontal="center"/>
    </xf>
    <xf numFmtId="16" fontId="24" fillId="0" borderId="14" xfId="0" quotePrefix="1" applyNumberFormat="1" applyFont="1" applyBorder="1" applyAlignment="1">
      <alignment horizontal="center"/>
    </xf>
    <xf numFmtId="16" fontId="24" fillId="0" borderId="0" xfId="0" quotePrefix="1" applyNumberFormat="1" applyFont="1"/>
    <xf numFmtId="0" fontId="24" fillId="0" borderId="0" xfId="0" quotePrefix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164" fontId="5" fillId="0" borderId="0" xfId="28" applyNumberFormat="1" applyFont="1" applyFill="1" applyAlignment="1"/>
    <xf numFmtId="165" fontId="5" fillId="0" borderId="14" xfId="28" applyNumberFormat="1" applyFont="1" applyFill="1" applyBorder="1" applyAlignment="1"/>
    <xf numFmtId="165" fontId="5" fillId="0" borderId="0" xfId="28" applyNumberFormat="1" applyFont="1" applyFill="1" applyAlignment="1"/>
    <xf numFmtId="165" fontId="5" fillId="0" borderId="0" xfId="28" applyNumberFormat="1" applyFont="1" applyFill="1" applyBorder="1" applyAlignment="1"/>
    <xf numFmtId="165" fontId="5" fillId="0" borderId="4" xfId="28" applyNumberFormat="1" applyFont="1" applyFill="1" applyBorder="1" applyAlignment="1"/>
    <xf numFmtId="0" fontId="5" fillId="0" borderId="0" xfId="0" applyFont="1" applyAlignment="1">
      <alignment horizontal="left" vertical="center"/>
    </xf>
    <xf numFmtId="164" fontId="5" fillId="0" borderId="17" xfId="28" applyNumberFormat="1" applyFont="1" applyFill="1" applyBorder="1" applyAlignment="1"/>
    <xf numFmtId="164" fontId="25" fillId="0" borderId="0" xfId="28" applyNumberFormat="1" applyFont="1" applyFill="1" applyAlignment="1"/>
    <xf numFmtId="44" fontId="5" fillId="0" borderId="0" xfId="28" applyFont="1" applyFill="1" applyBorder="1" applyAlignment="1"/>
    <xf numFmtId="0" fontId="5" fillId="0" borderId="0" xfId="0" quotePrefix="1" applyFont="1" applyAlignment="1">
      <alignment horizontal="left"/>
    </xf>
    <xf numFmtId="167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24" fillId="0" borderId="0" xfId="0" applyFont="1"/>
    <xf numFmtId="16" fontId="24" fillId="0" borderId="0" xfId="0" quotePrefix="1" applyNumberFormat="1" applyFont="1" applyAlignment="1">
      <alignment horizontal="center"/>
    </xf>
    <xf numFmtId="165" fontId="5" fillId="0" borderId="17" xfId="28" applyNumberFormat="1" applyFont="1" applyFill="1" applyBorder="1" applyAlignment="1"/>
    <xf numFmtId="165" fontId="5" fillId="0" borderId="22" xfId="28" applyNumberFormat="1" applyFont="1" applyFill="1" applyBorder="1" applyAlignment="1"/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4"/>
    </xf>
    <xf numFmtId="16" fontId="5" fillId="0" borderId="0" xfId="0" quotePrefix="1" applyNumberFormat="1" applyFont="1"/>
    <xf numFmtId="0" fontId="5" fillId="0" borderId="0" xfId="0" quotePrefix="1" applyFont="1"/>
    <xf numFmtId="0" fontId="5" fillId="0" borderId="0" xfId="0" applyFont="1" applyAlignment="1">
      <alignment horizontal="center"/>
    </xf>
    <xf numFmtId="164" fontId="5" fillId="0" borderId="4" xfId="28" applyNumberFormat="1" applyFont="1" applyFill="1" applyBorder="1" applyAlignment="1"/>
    <xf numFmtId="165" fontId="24" fillId="0" borderId="0" xfId="0" quotePrefix="1" applyNumberFormat="1" applyFont="1"/>
    <xf numFmtId="165" fontId="5" fillId="0" borderId="25" xfId="28" applyNumberFormat="1" applyFont="1" applyFill="1" applyBorder="1" applyAlignment="1"/>
    <xf numFmtId="164" fontId="5" fillId="0" borderId="0" xfId="28" applyNumberFormat="1" applyFont="1" applyFill="1" applyBorder="1" applyAlignment="1"/>
    <xf numFmtId="0" fontId="24" fillId="0" borderId="0" xfId="0" applyFont="1" applyAlignment="1">
      <alignment horizontal="left"/>
    </xf>
    <xf numFmtId="165" fontId="26" fillId="0" borderId="0" xfId="28" applyNumberFormat="1" applyFont="1" applyFill="1" applyBorder="1" applyAlignment="1"/>
    <xf numFmtId="165" fontId="26" fillId="0" borderId="14" xfId="28" applyNumberFormat="1" applyFont="1" applyFill="1" applyBorder="1" applyAlignment="1"/>
    <xf numFmtId="164" fontId="26" fillId="0" borderId="0" xfId="28" applyNumberFormat="1" applyFont="1" applyFill="1" applyBorder="1" applyAlignment="1"/>
    <xf numFmtId="165" fontId="26" fillId="0" borderId="0" xfId="28" applyNumberFormat="1" applyFont="1" applyFill="1" applyAlignment="1"/>
    <xf numFmtId="164" fontId="26" fillId="0" borderId="0" xfId="28" applyNumberFormat="1" applyFont="1" applyFill="1" applyAlignment="1"/>
    <xf numFmtId="165" fontId="26" fillId="0" borderId="24" xfId="28" applyNumberFormat="1" applyFont="1" applyFill="1" applyBorder="1" applyAlignment="1"/>
    <xf numFmtId="167" fontId="5" fillId="0" borderId="0" xfId="51" applyNumberFormat="1" applyFont="1" applyFill="1" applyBorder="1" applyAlignment="1"/>
    <xf numFmtId="9" fontId="5" fillId="0" borderId="0" xfId="51" applyFont="1" applyFill="1" applyAlignment="1"/>
    <xf numFmtId="165" fontId="28" fillId="0" borderId="0" xfId="28" applyNumberFormat="1" applyFont="1" applyFill="1" applyBorder="1" applyAlignment="1"/>
    <xf numFmtId="9" fontId="5" fillId="0" borderId="0" xfId="0" applyNumberFormat="1" applyFont="1"/>
    <xf numFmtId="167" fontId="5" fillId="0" borderId="0" xfId="51" applyNumberFormat="1" applyFont="1" applyFill="1" applyAlignment="1"/>
    <xf numFmtId="167" fontId="5" fillId="0" borderId="4" xfId="51" applyNumberFormat="1" applyFont="1" applyFill="1" applyBorder="1" applyAlignment="1"/>
    <xf numFmtId="167" fontId="5" fillId="0" borderId="0" xfId="51" quotePrefix="1" applyNumberFormat="1" applyFont="1" applyFill="1" applyBorder="1" applyAlignment="1">
      <alignment horizontal="right"/>
    </xf>
    <xf numFmtId="167" fontId="5" fillId="0" borderId="14" xfId="51" applyNumberFormat="1" applyFont="1" applyFill="1" applyBorder="1" applyAlignment="1"/>
    <xf numFmtId="0" fontId="30" fillId="0" borderId="0" xfId="0" applyFont="1"/>
    <xf numFmtId="0" fontId="31" fillId="0" borderId="0" xfId="0" applyFont="1"/>
    <xf numFmtId="164" fontId="5" fillId="0" borderId="0" xfId="0" applyNumberFormat="1" applyFont="1"/>
    <xf numFmtId="165" fontId="5" fillId="0" borderId="0" xfId="0" applyNumberFormat="1" applyFont="1"/>
    <xf numFmtId="9" fontId="26" fillId="0" borderId="0" xfId="51" applyFont="1" applyFill="1" applyBorder="1" applyAlignment="1"/>
    <xf numFmtId="9" fontId="5" fillId="0" borderId="0" xfId="51" quotePrefix="1" applyFont="1" applyFill="1" applyBorder="1" applyAlignment="1"/>
    <xf numFmtId="0" fontId="24" fillId="24" borderId="13" xfId="0" applyFont="1" applyFill="1" applyBorder="1" applyAlignment="1">
      <alignment horizontal="center"/>
    </xf>
    <xf numFmtId="16" fontId="24" fillId="24" borderId="15" xfId="0" quotePrefix="1" applyNumberFormat="1" applyFont="1" applyFill="1" applyBorder="1" applyAlignment="1">
      <alignment horizontal="center"/>
    </xf>
    <xf numFmtId="164" fontId="5" fillId="24" borderId="12" xfId="28" applyNumberFormat="1" applyFont="1" applyFill="1" applyBorder="1" applyAlignment="1"/>
    <xf numFmtId="165" fontId="5" fillId="24" borderId="15" xfId="28" applyNumberFormat="1" applyFont="1" applyFill="1" applyBorder="1" applyAlignment="1"/>
    <xf numFmtId="165" fontId="5" fillId="24" borderId="16" xfId="28" applyNumberFormat="1" applyFont="1" applyFill="1" applyBorder="1" applyAlignment="1"/>
    <xf numFmtId="165" fontId="5" fillId="24" borderId="12" xfId="28" applyNumberFormat="1" applyFont="1" applyFill="1" applyBorder="1" applyAlignment="1"/>
    <xf numFmtId="164" fontId="5" fillId="24" borderId="18" xfId="28" applyNumberFormat="1" applyFont="1" applyFill="1" applyBorder="1" applyAlignment="1"/>
    <xf numFmtId="164" fontId="25" fillId="24" borderId="12" xfId="28" applyNumberFormat="1" applyFont="1" applyFill="1" applyBorder="1" applyAlignment="1"/>
    <xf numFmtId="44" fontId="5" fillId="24" borderId="12" xfId="28" applyFont="1" applyFill="1" applyBorder="1" applyAlignment="1"/>
    <xf numFmtId="165" fontId="26" fillId="24" borderId="12" xfId="28" applyNumberFormat="1" applyFont="1" applyFill="1" applyBorder="1" applyAlignment="1"/>
    <xf numFmtId="0" fontId="5" fillId="24" borderId="12" xfId="0" applyFont="1" applyFill="1" applyBorder="1"/>
    <xf numFmtId="167" fontId="5" fillId="24" borderId="12" xfId="0" applyNumberFormat="1" applyFont="1" applyFill="1" applyBorder="1"/>
    <xf numFmtId="0" fontId="5" fillId="24" borderId="19" xfId="0" applyFont="1" applyFill="1" applyBorder="1"/>
    <xf numFmtId="0" fontId="24" fillId="24" borderId="12" xfId="0" quotePrefix="1" applyFont="1" applyFill="1" applyBorder="1"/>
    <xf numFmtId="164" fontId="26" fillId="24" borderId="12" xfId="28" applyNumberFormat="1" applyFont="1" applyFill="1" applyBorder="1" applyAlignment="1"/>
    <xf numFmtId="165" fontId="26" fillId="24" borderId="15" xfId="28" applyNumberFormat="1" applyFont="1" applyFill="1" applyBorder="1" applyAlignment="1"/>
    <xf numFmtId="16" fontId="24" fillId="24" borderId="12" xfId="0" quotePrefix="1" applyNumberFormat="1" applyFont="1" applyFill="1" applyBorder="1" applyAlignment="1">
      <alignment horizontal="center"/>
    </xf>
    <xf numFmtId="165" fontId="5" fillId="24" borderId="18" xfId="28" applyNumberFormat="1" applyFont="1" applyFill="1" applyBorder="1" applyAlignment="1"/>
    <xf numFmtId="165" fontId="5" fillId="24" borderId="23" xfId="28" applyNumberFormat="1" applyFont="1" applyFill="1" applyBorder="1" applyAlignment="1"/>
    <xf numFmtId="0" fontId="5" fillId="24" borderId="12" xfId="0" quotePrefix="1" applyFont="1" applyFill="1" applyBorder="1"/>
    <xf numFmtId="164" fontId="5" fillId="24" borderId="16" xfId="28" applyNumberFormat="1" applyFont="1" applyFill="1" applyBorder="1" applyAlignment="1"/>
    <xf numFmtId="167" fontId="5" fillId="24" borderId="16" xfId="0" applyNumberFormat="1" applyFont="1" applyFill="1" applyBorder="1"/>
    <xf numFmtId="167" fontId="26" fillId="24" borderId="12" xfId="0" applyNumberFormat="1" applyFont="1" applyFill="1" applyBorder="1"/>
    <xf numFmtId="9" fontId="26" fillId="24" borderId="12" xfId="0" applyNumberFormat="1" applyFont="1" applyFill="1" applyBorder="1"/>
    <xf numFmtId="165" fontId="26" fillId="24" borderId="12" xfId="0" applyNumberFormat="1" applyFont="1" applyFill="1" applyBorder="1"/>
    <xf numFmtId="164" fontId="26" fillId="24" borderId="12" xfId="0" applyNumberFormat="1" applyFont="1" applyFill="1" applyBorder="1"/>
    <xf numFmtId="9" fontId="5" fillId="24" borderId="12" xfId="0" applyNumberFormat="1" applyFont="1" applyFill="1" applyBorder="1"/>
    <xf numFmtId="169" fontId="26" fillId="24" borderId="12" xfId="28" applyNumberFormat="1" applyFont="1" applyFill="1" applyBorder="1" applyAlignment="1"/>
    <xf numFmtId="164" fontId="26" fillId="24" borderId="16" xfId="28" applyNumberFormat="1" applyFont="1" applyFill="1" applyBorder="1" applyAlignment="1"/>
    <xf numFmtId="9" fontId="5" fillId="24" borderId="12" xfId="51" applyFont="1" applyFill="1" applyBorder="1" applyAlignment="1"/>
    <xf numFmtId="164" fontId="5" fillId="0" borderId="0" xfId="28" applyNumberFormat="1" applyFont="1" applyFill="1" applyBorder="1" applyAlignment="1">
      <alignment horizontal="right"/>
    </xf>
    <xf numFmtId="9" fontId="5" fillId="24" borderId="16" xfId="51" applyFont="1" applyFill="1" applyBorder="1" applyAlignment="1"/>
    <xf numFmtId="165" fontId="5" fillId="0" borderId="0" xfId="51" applyNumberFormat="1" applyFont="1" applyFill="1" applyAlignment="1"/>
    <xf numFmtId="165" fontId="5" fillId="0" borderId="0" xfId="0" quotePrefix="1" applyNumberFormat="1" applyFont="1"/>
    <xf numFmtId="169" fontId="26" fillId="24" borderId="12" xfId="28" applyNumberFormat="1" applyFont="1" applyFill="1" applyBorder="1" applyAlignment="1">
      <alignment horizontal="right"/>
    </xf>
    <xf numFmtId="44" fontId="5" fillId="0" borderId="0" xfId="28" applyFont="1" applyFill="1" applyBorder="1" applyAlignment="1">
      <alignment horizontal="right"/>
    </xf>
    <xf numFmtId="164" fontId="5" fillId="24" borderId="30" xfId="28" applyNumberFormat="1" applyFont="1" applyFill="1" applyBorder="1" applyAlignment="1"/>
    <xf numFmtId="43" fontId="5" fillId="0" borderId="0" xfId="28" applyNumberFormat="1" applyFont="1" applyFill="1" applyBorder="1" applyAlignment="1"/>
    <xf numFmtId="172" fontId="30" fillId="0" borderId="0" xfId="0" quotePrefix="1" applyNumberFormat="1" applyFont="1" applyAlignment="1">
      <alignment horizontal="left"/>
    </xf>
    <xf numFmtId="165" fontId="26" fillId="0" borderId="0" xfId="53" applyNumberFormat="1" applyFont="1" applyFill="1" applyBorder="1" applyAlignment="1"/>
    <xf numFmtId="165" fontId="5" fillId="24" borderId="12" xfId="53" applyNumberFormat="1" applyFont="1" applyFill="1" applyBorder="1" applyAlignment="1"/>
    <xf numFmtId="169" fontId="26" fillId="24" borderId="12" xfId="28" quotePrefix="1" applyNumberFormat="1" applyFont="1" applyFill="1" applyBorder="1" applyAlignment="1">
      <alignment horizontal="right"/>
    </xf>
    <xf numFmtId="0" fontId="32" fillId="0" borderId="0" xfId="0" applyFont="1"/>
    <xf numFmtId="0" fontId="32" fillId="0" borderId="0" xfId="0" applyFont="1" applyAlignment="1">
      <alignment vertical="center"/>
    </xf>
    <xf numFmtId="0" fontId="33" fillId="0" borderId="0" xfId="52" applyFont="1" applyFill="1"/>
    <xf numFmtId="165" fontId="26" fillId="0" borderId="0" xfId="53" applyNumberFormat="1" applyFont="1" applyFill="1" applyAlignment="1"/>
    <xf numFmtId="165" fontId="26" fillId="24" borderId="12" xfId="53" applyNumberFormat="1" applyFont="1" applyFill="1" applyBorder="1" applyAlignment="1"/>
    <xf numFmtId="165" fontId="5" fillId="0" borderId="0" xfId="53" applyNumberFormat="1" applyFont="1" applyFill="1" applyAlignment="1"/>
    <xf numFmtId="165" fontId="5" fillId="0" borderId="14" xfId="53" applyNumberFormat="1" applyFont="1" applyFill="1" applyBorder="1" applyAlignment="1"/>
    <xf numFmtId="165" fontId="26" fillId="0" borderId="14" xfId="53" applyNumberFormat="1" applyFont="1" applyFill="1" applyBorder="1" applyAlignment="1"/>
    <xf numFmtId="164" fontId="5" fillId="0" borderId="0" xfId="28" applyNumberFormat="1" applyFont="1" applyFill="1" applyAlignment="1">
      <alignment horizontal="left"/>
    </xf>
    <xf numFmtId="164" fontId="5" fillId="0" borderId="27" xfId="28" applyNumberFormat="1" applyFont="1" applyFill="1" applyBorder="1" applyAlignment="1"/>
    <xf numFmtId="164" fontId="5" fillId="0" borderId="28" xfId="28" applyNumberFormat="1" applyFont="1" applyFill="1" applyBorder="1" applyAlignment="1"/>
    <xf numFmtId="164" fontId="5" fillId="0" borderId="29" xfId="28" applyNumberFormat="1" applyFont="1" applyFill="1" applyBorder="1" applyAlignment="1"/>
    <xf numFmtId="164" fontId="24" fillId="0" borderId="0" xfId="28" applyNumberFormat="1" applyFont="1" applyFill="1" applyAlignment="1">
      <alignment horizontal="center"/>
    </xf>
    <xf numFmtId="165" fontId="5" fillId="0" borderId="28" xfId="28" applyNumberFormat="1" applyFont="1" applyFill="1" applyBorder="1" applyAlignment="1"/>
    <xf numFmtId="173" fontId="5" fillId="0" borderId="0" xfId="51" applyNumberFormat="1" applyFont="1" applyFill="1" applyBorder="1" applyAlignment="1"/>
    <xf numFmtId="172" fontId="0" fillId="0" borderId="0" xfId="0" applyNumberFormat="1"/>
    <xf numFmtId="44" fontId="26" fillId="0" borderId="0" xfId="28" applyFont="1" applyFill="1" applyBorder="1" applyAlignment="1"/>
    <xf numFmtId="164" fontId="36" fillId="0" borderId="0" xfId="28" applyNumberFormat="1" applyFont="1" applyFill="1" applyBorder="1" applyAlignment="1"/>
    <xf numFmtId="44" fontId="5" fillId="0" borderId="0" xfId="0" applyNumberFormat="1" applyFont="1"/>
    <xf numFmtId="43" fontId="5" fillId="0" borderId="0" xfId="53" applyFont="1"/>
    <xf numFmtId="0" fontId="24" fillId="24" borderId="20" xfId="0" applyFont="1" applyFill="1" applyBorder="1" applyAlignment="1">
      <alignment horizontal="center"/>
    </xf>
    <xf numFmtId="0" fontId="24" fillId="24" borderId="3" xfId="0" applyFont="1" applyFill="1" applyBorder="1" applyAlignment="1">
      <alignment horizontal="center"/>
    </xf>
    <xf numFmtId="0" fontId="24" fillId="24" borderId="21" xfId="0" applyFont="1" applyFill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4" xfId="0" applyFont="1" applyBorder="1" applyAlignment="1">
      <alignment horizontal="center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53" builtinId="3"/>
    <cellStyle name="Currency" xfId="28" builtinId="4"/>
    <cellStyle name="E&amp;Y House" xfId="29" xr:uid="{00000000-0005-0000-0000-00001D000000}"/>
    <cellStyle name="Euro" xfId="30" xr:uid="{00000000-0005-0000-0000-00001E000000}"/>
    <cellStyle name="Explanatory Text" xfId="31" builtinId="53" customBuiltin="1"/>
    <cellStyle name="Good" xfId="32" builtinId="26" customBuiltin="1"/>
    <cellStyle name="Header1" xfId="33" xr:uid="{00000000-0005-0000-0000-000021000000}"/>
    <cellStyle name="Header2" xfId="34" xr:uid="{00000000-0005-0000-0000-000022000000}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" xfId="52" builtinId="8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2" xfId="50" xr:uid="{00000000-0005-0000-0000-00002C000000}"/>
    <cellStyle name="Normal 2 2" xfId="49" xr:uid="{00000000-0005-0000-0000-00002D000000}"/>
    <cellStyle name="Note" xfId="42" builtinId="10" customBuiltin="1"/>
    <cellStyle name="Output" xfId="43" builtinId="21" customBuiltin="1"/>
    <cellStyle name="Percent" xfId="51" builtinId="5"/>
    <cellStyle name="Title" xfId="44" builtinId="15" customBuiltin="1"/>
    <cellStyle name="Total" xfId="45" builtinId="25" customBuiltin="1"/>
    <cellStyle name="Tusental_Cepheid A B  5 Year_Capex_HR_from_Henry" xfId="46" xr:uid="{00000000-0005-0000-0000-000033000000}"/>
    <cellStyle name="Valuta_IFRS_Balance_Cepheid Mar 07 with More Questions" xfId="47" xr:uid="{00000000-0005-0000-0000-000034000000}"/>
    <cellStyle name="Warning Text" xfId="48" builtinId="11" customBuiltin="1"/>
  </cellStyles>
  <dxfs count="0"/>
  <tableStyles count="0" defaultTableStyle="TableStyleMedium2" defaultPivotStyle="PivotStyleLight16"/>
  <colors>
    <mruColors>
      <color rgb="FF134A8F"/>
      <color rgb="FFC4D2E3"/>
      <color rgb="FFE23B3F"/>
      <color rgb="FFFCDDC8"/>
      <color rgb="FFF8CECF"/>
      <color rgb="FFB8CCE4"/>
      <color rgb="FFA7C9F3"/>
      <color rgb="FF77ACED"/>
      <color rgb="FFF69A5C"/>
      <color rgb="FFF375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22861</xdr:rowOff>
    </xdr:from>
    <xdr:to>
      <xdr:col>6</xdr:col>
      <xdr:colOff>164465</xdr:colOff>
      <xdr:row>7</xdr:row>
      <xdr:rowOff>135787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693421"/>
          <a:ext cx="4724400" cy="1288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fedotoff@ipgphotonic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1:CI33"/>
  <sheetViews>
    <sheetView tabSelected="1" zoomScaleNormal="100" workbookViewId="0">
      <selection activeCell="B30" sqref="B30"/>
    </sheetView>
  </sheetViews>
  <sheetFormatPr defaultRowHeight="12.5" x14ac:dyDescent="0.25"/>
  <cols>
    <col min="2" max="2" width="31.453125" customWidth="1"/>
    <col min="87" max="87" width="14.26953125" bestFit="1" customWidth="1"/>
  </cols>
  <sheetData>
    <row r="11" spans="2:2" ht="18" x14ac:dyDescent="0.4">
      <c r="B11" s="50" t="s">
        <v>123</v>
      </c>
    </row>
    <row r="12" spans="2:2" ht="18" x14ac:dyDescent="0.4">
      <c r="B12" s="50" t="s">
        <v>256</v>
      </c>
    </row>
    <row r="13" spans="2:2" ht="18" x14ac:dyDescent="0.4">
      <c r="B13" s="94">
        <v>45473</v>
      </c>
    </row>
    <row r="14" spans="2:2" ht="18" x14ac:dyDescent="0.4">
      <c r="B14" s="50" t="s">
        <v>209</v>
      </c>
    </row>
    <row r="16" spans="2:2" ht="15.5" x14ac:dyDescent="0.35">
      <c r="B16" s="51" t="s">
        <v>124</v>
      </c>
    </row>
    <row r="17" spans="2:2" ht="15.5" x14ac:dyDescent="0.35">
      <c r="B17" s="98" t="s">
        <v>220</v>
      </c>
    </row>
    <row r="18" spans="2:2" ht="15.5" x14ac:dyDescent="0.35">
      <c r="B18" s="98" t="s">
        <v>249</v>
      </c>
    </row>
    <row r="19" spans="2:2" ht="15.5" x14ac:dyDescent="0.35">
      <c r="B19" s="100" t="s">
        <v>219</v>
      </c>
    </row>
    <row r="20" spans="2:2" ht="15.5" x14ac:dyDescent="0.25">
      <c r="B20" s="99" t="s">
        <v>218</v>
      </c>
    </row>
    <row r="23" spans="2:2" x14ac:dyDescent="0.25">
      <c r="B23" t="s">
        <v>125</v>
      </c>
    </row>
    <row r="24" spans="2:2" x14ac:dyDescent="0.25">
      <c r="B24" t="s">
        <v>126</v>
      </c>
    </row>
    <row r="25" spans="2:2" x14ac:dyDescent="0.25">
      <c r="B25" t="s">
        <v>127</v>
      </c>
    </row>
    <row r="26" spans="2:2" x14ac:dyDescent="0.25">
      <c r="B26" t="s">
        <v>128</v>
      </c>
    </row>
    <row r="33" spans="87:87" x14ac:dyDescent="0.25">
      <c r="CI33" s="113">
        <f>About!B13</f>
        <v>45473</v>
      </c>
    </row>
  </sheetData>
  <hyperlinks>
    <hyperlink ref="B19" r:id="rId1" xr:uid="{00000000-0004-0000-0100-000000000000}"/>
  </hyperlinks>
  <printOptions verticalCentered="1"/>
  <pageMargins left="0.25" right="0.25" top="0.75" bottom="0.75" header="0.3" footer="0.3"/>
  <pageSetup orientation="landscape" r:id="rId2"/>
  <headerFooter alignWithMargins="0">
    <oddHeader>&amp;L&amp;G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autoPageBreaks="0" fitToPage="1"/>
  </sheetPr>
  <dimension ref="A1:CR65"/>
  <sheetViews>
    <sheetView zoomScaleNormal="100" zoomScaleSheetLayoutView="100" workbookViewId="0">
      <pane xSplit="1" ySplit="4" topLeftCell="BD5" activePane="bottomRight" state="frozen"/>
      <selection activeCell="A54" sqref="A54"/>
      <selection pane="topRight" activeCell="A54" sqref="A54"/>
      <selection pane="bottomLeft" activeCell="A54" sqref="A54"/>
      <selection pane="bottomRight" activeCell="CO62" sqref="CO62"/>
    </sheetView>
  </sheetViews>
  <sheetFormatPr defaultColWidth="9.7265625" defaultRowHeight="11.15" customHeight="1" outlineLevelCol="1" x14ac:dyDescent="0.2"/>
  <cols>
    <col min="1" max="1" width="55.7265625" style="1" customWidth="1"/>
    <col min="2" max="5" width="9.7265625" style="1" hidden="1" customWidth="1" outlineLevel="1"/>
    <col min="6" max="6" width="9.7265625" style="1" collapsed="1"/>
    <col min="7" max="10" width="9.7265625" style="1" hidden="1" customWidth="1" outlineLevel="1"/>
    <col min="11" max="11" width="9.7265625" style="1" collapsed="1"/>
    <col min="12" max="15" width="9.7265625" style="1" hidden="1" customWidth="1" outlineLevel="1"/>
    <col min="16" max="16" width="9.7265625" style="1" collapsed="1"/>
    <col min="17" max="20" width="9.7265625" style="1" hidden="1" customWidth="1" outlineLevel="1"/>
    <col min="21" max="21" width="9.7265625" style="1" collapsed="1"/>
    <col min="22" max="25" width="9.7265625" style="1" hidden="1" customWidth="1" outlineLevel="1"/>
    <col min="26" max="26" width="9.7265625" style="1" collapsed="1"/>
    <col min="27" max="30" width="9.7265625" style="1" hidden="1" customWidth="1" outlineLevel="1"/>
    <col min="31" max="31" width="9.7265625" style="1" collapsed="1"/>
    <col min="32" max="35" width="9.7265625" style="1" hidden="1" customWidth="1" outlineLevel="1"/>
    <col min="36" max="36" width="9.7265625" style="1" collapsed="1"/>
    <col min="37" max="40" width="9.7265625" style="1" hidden="1" customWidth="1" outlineLevel="1"/>
    <col min="41" max="41" width="9.7265625" style="1" collapsed="1"/>
    <col min="42" max="45" width="9.7265625" style="1" hidden="1" customWidth="1" outlineLevel="1"/>
    <col min="46" max="46" width="9.7265625" style="1" collapsed="1"/>
    <col min="47" max="50" width="9.7265625" style="1" hidden="1" customWidth="1" outlineLevel="1"/>
    <col min="51" max="51" width="9.7265625" style="1" collapsed="1"/>
    <col min="52" max="55" width="9.7265625" style="1" hidden="1" customWidth="1" outlineLevel="1"/>
    <col min="56" max="56" width="9.7265625" style="1" collapsed="1"/>
    <col min="57" max="60" width="9.7265625" style="1" hidden="1" customWidth="1" outlineLevel="1"/>
    <col min="61" max="61" width="9.7265625" style="1" collapsed="1"/>
    <col min="62" max="65" width="9.7265625" style="1" hidden="1" customWidth="1" outlineLevel="1"/>
    <col min="66" max="66" width="9.7265625" style="1" collapsed="1"/>
    <col min="67" max="70" width="9.7265625" style="1" hidden="1" customWidth="1" outlineLevel="1"/>
    <col min="71" max="71" width="9.7265625" style="1" collapsed="1"/>
    <col min="72" max="75" width="9.7265625" style="1" hidden="1" customWidth="1" outlineLevel="1"/>
    <col min="76" max="76" width="9.7265625" style="1" customWidth="1" collapsed="1"/>
    <col min="77" max="80" width="9.7265625" style="1" hidden="1" customWidth="1" outlineLevel="1"/>
    <col min="81" max="81" width="9.7265625" style="1" collapsed="1"/>
    <col min="82" max="85" width="9.7265625" style="1" hidden="1" customWidth="1" outlineLevel="1"/>
    <col min="86" max="86" width="9.7265625" style="1" collapsed="1"/>
    <col min="87" max="90" width="9.7265625" style="1" customWidth="1" outlineLevel="1"/>
    <col min="91" max="91" width="9.7265625" style="1" customWidth="1"/>
    <col min="92" max="95" width="9.7265625" style="1" outlineLevel="1"/>
    <col min="96" max="16384" width="9.7265625" style="1"/>
  </cols>
  <sheetData>
    <row r="1" spans="1:96" ht="11.15" customHeight="1" thickBot="1" x14ac:dyDescent="0.3">
      <c r="A1" s="22" t="s">
        <v>44</v>
      </c>
      <c r="B1" s="118" t="s">
        <v>40</v>
      </c>
      <c r="C1" s="119"/>
      <c r="D1" s="119"/>
      <c r="E1" s="119"/>
      <c r="F1" s="120"/>
      <c r="G1" s="118" t="s">
        <v>41</v>
      </c>
      <c r="H1" s="119"/>
      <c r="I1" s="119"/>
      <c r="J1" s="119"/>
      <c r="K1" s="120"/>
      <c r="L1" s="118" t="s">
        <v>42</v>
      </c>
      <c r="M1" s="119"/>
      <c r="N1" s="119"/>
      <c r="O1" s="119"/>
      <c r="P1" s="120"/>
      <c r="Q1" s="118" t="s">
        <v>43</v>
      </c>
      <c r="R1" s="119"/>
      <c r="S1" s="119"/>
      <c r="T1" s="119"/>
      <c r="U1" s="120"/>
      <c r="V1" s="118" t="s">
        <v>11</v>
      </c>
      <c r="W1" s="119"/>
      <c r="X1" s="119"/>
      <c r="Y1" s="119"/>
      <c r="Z1" s="120"/>
      <c r="AA1" s="118" t="s">
        <v>10</v>
      </c>
      <c r="AB1" s="119"/>
      <c r="AC1" s="119"/>
      <c r="AD1" s="119"/>
      <c r="AE1" s="120"/>
      <c r="AF1" s="118" t="s">
        <v>9</v>
      </c>
      <c r="AG1" s="119"/>
      <c r="AH1" s="119"/>
      <c r="AI1" s="119"/>
      <c r="AJ1" s="120"/>
      <c r="AK1" s="118" t="s">
        <v>8</v>
      </c>
      <c r="AL1" s="119"/>
      <c r="AM1" s="119"/>
      <c r="AN1" s="119"/>
      <c r="AO1" s="120"/>
      <c r="AP1" s="118" t="s">
        <v>7</v>
      </c>
      <c r="AQ1" s="119"/>
      <c r="AR1" s="119"/>
      <c r="AS1" s="119"/>
      <c r="AT1" s="120"/>
      <c r="AU1" s="118" t="s">
        <v>6</v>
      </c>
      <c r="AV1" s="119"/>
      <c r="AW1" s="119"/>
      <c r="AX1" s="119"/>
      <c r="AY1" s="120"/>
      <c r="AZ1" s="118" t="s">
        <v>22</v>
      </c>
      <c r="BA1" s="119"/>
      <c r="BB1" s="119"/>
      <c r="BC1" s="119"/>
      <c r="BD1" s="120"/>
      <c r="BE1" s="118" t="s">
        <v>122</v>
      </c>
      <c r="BF1" s="119"/>
      <c r="BG1" s="119"/>
      <c r="BH1" s="119"/>
      <c r="BI1" s="120"/>
      <c r="BJ1" s="118" t="s">
        <v>153</v>
      </c>
      <c r="BK1" s="119"/>
      <c r="BL1" s="119"/>
      <c r="BM1" s="119"/>
      <c r="BN1" s="120"/>
      <c r="BO1" s="118" t="s">
        <v>162</v>
      </c>
      <c r="BP1" s="119"/>
      <c r="BQ1" s="119"/>
      <c r="BR1" s="119"/>
      <c r="BS1" s="120"/>
      <c r="BT1" s="118" t="s">
        <v>215</v>
      </c>
      <c r="BU1" s="119"/>
      <c r="BV1" s="119"/>
      <c r="BW1" s="119"/>
      <c r="BX1" s="120"/>
      <c r="BY1" s="118" t="s">
        <v>221</v>
      </c>
      <c r="BZ1" s="119"/>
      <c r="CA1" s="119"/>
      <c r="CB1" s="119"/>
      <c r="CC1" s="120"/>
      <c r="CD1" s="118" t="s">
        <v>222</v>
      </c>
      <c r="CE1" s="119"/>
      <c r="CF1" s="119"/>
      <c r="CG1" s="119"/>
      <c r="CH1" s="120"/>
      <c r="CI1" s="118" t="s">
        <v>242</v>
      </c>
      <c r="CJ1" s="119"/>
      <c r="CK1" s="119"/>
      <c r="CL1" s="119"/>
      <c r="CM1" s="120"/>
      <c r="CN1" s="118" t="s">
        <v>254</v>
      </c>
      <c r="CO1" s="119"/>
      <c r="CP1" s="119"/>
      <c r="CQ1" s="119"/>
      <c r="CR1" s="120"/>
    </row>
    <row r="2" spans="1:96" ht="11.15" customHeight="1" thickBot="1" x14ac:dyDescent="0.3">
      <c r="A2" s="1" t="s">
        <v>163</v>
      </c>
      <c r="B2" s="2"/>
      <c r="F2" s="52"/>
      <c r="G2" s="2"/>
      <c r="L2" s="2"/>
      <c r="Q2" s="2"/>
      <c r="V2" s="2"/>
      <c r="AB2" s="2"/>
      <c r="AG2" s="2"/>
      <c r="AL2" s="2"/>
      <c r="AQ2" s="2"/>
      <c r="AV2" s="2"/>
      <c r="BA2" s="2"/>
      <c r="BF2" s="2"/>
      <c r="BK2" s="2"/>
      <c r="BP2" s="2"/>
      <c r="BU2" s="2"/>
      <c r="BZ2" s="2"/>
      <c r="CE2" s="2"/>
    </row>
    <row r="3" spans="1:96" ht="11.15" customHeight="1" x14ac:dyDescent="0.25">
      <c r="A3" s="1" t="s">
        <v>177</v>
      </c>
      <c r="B3" s="121" t="s">
        <v>0</v>
      </c>
      <c r="C3" s="121"/>
      <c r="D3" s="121"/>
      <c r="E3" s="121"/>
      <c r="F3" s="56" t="s">
        <v>5</v>
      </c>
      <c r="G3" s="121" t="s">
        <v>0</v>
      </c>
      <c r="H3" s="121"/>
      <c r="I3" s="121"/>
      <c r="J3" s="121"/>
      <c r="K3" s="56" t="s">
        <v>5</v>
      </c>
      <c r="L3" s="121" t="s">
        <v>0</v>
      </c>
      <c r="M3" s="121"/>
      <c r="N3" s="121"/>
      <c r="O3" s="121"/>
      <c r="P3" s="56" t="s">
        <v>5</v>
      </c>
      <c r="Q3" s="121" t="s">
        <v>0</v>
      </c>
      <c r="R3" s="121"/>
      <c r="S3" s="121"/>
      <c r="T3" s="121"/>
      <c r="U3" s="56" t="s">
        <v>5</v>
      </c>
      <c r="V3" s="122" t="s">
        <v>0</v>
      </c>
      <c r="W3" s="121"/>
      <c r="X3" s="121"/>
      <c r="Y3" s="123"/>
      <c r="Z3" s="56" t="s">
        <v>5</v>
      </c>
      <c r="AA3" s="121" t="s">
        <v>0</v>
      </c>
      <c r="AB3" s="121"/>
      <c r="AC3" s="121"/>
      <c r="AD3" s="121"/>
      <c r="AE3" s="56" t="s">
        <v>5</v>
      </c>
      <c r="AF3" s="121" t="s">
        <v>0</v>
      </c>
      <c r="AG3" s="121"/>
      <c r="AH3" s="121"/>
      <c r="AI3" s="121"/>
      <c r="AJ3" s="56" t="s">
        <v>5</v>
      </c>
      <c r="AK3" s="121" t="s">
        <v>0</v>
      </c>
      <c r="AL3" s="121"/>
      <c r="AM3" s="121"/>
      <c r="AN3" s="121"/>
      <c r="AO3" s="56" t="s">
        <v>5</v>
      </c>
      <c r="AP3" s="121" t="s">
        <v>0</v>
      </c>
      <c r="AQ3" s="121"/>
      <c r="AR3" s="121"/>
      <c r="AS3" s="121"/>
      <c r="AT3" s="56" t="s">
        <v>5</v>
      </c>
      <c r="AU3" s="121" t="s">
        <v>0</v>
      </c>
      <c r="AV3" s="121"/>
      <c r="AW3" s="121"/>
      <c r="AX3" s="121"/>
      <c r="AY3" s="56" t="s">
        <v>5</v>
      </c>
      <c r="AZ3" s="121" t="s">
        <v>0</v>
      </c>
      <c r="BA3" s="121"/>
      <c r="BB3" s="121"/>
      <c r="BC3" s="121"/>
      <c r="BD3" s="56" t="s">
        <v>5</v>
      </c>
      <c r="BE3" s="121" t="s">
        <v>0</v>
      </c>
      <c r="BF3" s="121"/>
      <c r="BG3" s="121"/>
      <c r="BH3" s="121"/>
      <c r="BI3" s="56" t="s">
        <v>5</v>
      </c>
      <c r="BJ3" s="121" t="s">
        <v>0</v>
      </c>
      <c r="BK3" s="121"/>
      <c r="BL3" s="121"/>
      <c r="BM3" s="121"/>
      <c r="BN3" s="56" t="s">
        <v>5</v>
      </c>
      <c r="BO3" s="121" t="s">
        <v>0</v>
      </c>
      <c r="BP3" s="121"/>
      <c r="BQ3" s="121"/>
      <c r="BR3" s="121"/>
      <c r="BS3" s="56" t="s">
        <v>5</v>
      </c>
      <c r="BT3" s="121" t="s">
        <v>0</v>
      </c>
      <c r="BU3" s="121"/>
      <c r="BV3" s="121"/>
      <c r="BW3" s="121"/>
      <c r="BX3" s="56" t="s">
        <v>5</v>
      </c>
      <c r="BY3" s="121" t="s">
        <v>0</v>
      </c>
      <c r="BZ3" s="121"/>
      <c r="CA3" s="121"/>
      <c r="CB3" s="121"/>
      <c r="CC3" s="56" t="s">
        <v>5</v>
      </c>
      <c r="CD3" s="121" t="s">
        <v>0</v>
      </c>
      <c r="CE3" s="121"/>
      <c r="CF3" s="121"/>
      <c r="CG3" s="121"/>
      <c r="CH3" s="56" t="s">
        <v>5</v>
      </c>
      <c r="CI3" s="121" t="s">
        <v>0</v>
      </c>
      <c r="CJ3" s="121"/>
      <c r="CK3" s="121"/>
      <c r="CL3" s="121"/>
      <c r="CM3" s="56" t="s">
        <v>5</v>
      </c>
      <c r="CN3" s="121" t="s">
        <v>0</v>
      </c>
      <c r="CO3" s="121"/>
      <c r="CP3" s="121"/>
      <c r="CQ3" s="121"/>
      <c r="CR3" s="56" t="s">
        <v>5</v>
      </c>
    </row>
    <row r="4" spans="1:96" s="2" customFormat="1" ht="11.15" customHeight="1" x14ac:dyDescent="0.25">
      <c r="A4" s="6"/>
      <c r="B4" s="3">
        <v>38807</v>
      </c>
      <c r="C4" s="3">
        <v>38898</v>
      </c>
      <c r="D4" s="3">
        <v>38990</v>
      </c>
      <c r="E4" s="3">
        <v>39082</v>
      </c>
      <c r="F4" s="57">
        <v>39082</v>
      </c>
      <c r="G4" s="3">
        <v>39172</v>
      </c>
      <c r="H4" s="3">
        <v>39263</v>
      </c>
      <c r="I4" s="3">
        <v>39355</v>
      </c>
      <c r="J4" s="3">
        <v>39447</v>
      </c>
      <c r="K4" s="57">
        <v>39447</v>
      </c>
      <c r="L4" s="3">
        <v>39538</v>
      </c>
      <c r="M4" s="3">
        <v>39629</v>
      </c>
      <c r="N4" s="3">
        <v>39721</v>
      </c>
      <c r="O4" s="3">
        <v>39813</v>
      </c>
      <c r="P4" s="57">
        <v>39813</v>
      </c>
      <c r="Q4" s="3">
        <v>39903</v>
      </c>
      <c r="R4" s="3">
        <v>39994</v>
      </c>
      <c r="S4" s="3">
        <v>40086</v>
      </c>
      <c r="T4" s="3">
        <v>40178</v>
      </c>
      <c r="U4" s="57">
        <v>40178</v>
      </c>
      <c r="V4" s="3">
        <v>40268</v>
      </c>
      <c r="W4" s="3">
        <v>40359</v>
      </c>
      <c r="X4" s="3">
        <v>40451</v>
      </c>
      <c r="Y4" s="3">
        <v>40543</v>
      </c>
      <c r="Z4" s="57">
        <v>40543</v>
      </c>
      <c r="AA4" s="3">
        <v>40633</v>
      </c>
      <c r="AB4" s="3">
        <v>40724</v>
      </c>
      <c r="AC4" s="3">
        <v>40816</v>
      </c>
      <c r="AD4" s="3">
        <v>40908</v>
      </c>
      <c r="AE4" s="57">
        <v>40908</v>
      </c>
      <c r="AF4" s="3">
        <v>40999</v>
      </c>
      <c r="AG4" s="3">
        <v>41090</v>
      </c>
      <c r="AH4" s="3">
        <v>41182</v>
      </c>
      <c r="AI4" s="3">
        <v>41274</v>
      </c>
      <c r="AJ4" s="57">
        <v>41274</v>
      </c>
      <c r="AK4" s="3">
        <v>41364</v>
      </c>
      <c r="AL4" s="3">
        <v>41455</v>
      </c>
      <c r="AM4" s="3">
        <v>41547</v>
      </c>
      <c r="AN4" s="3">
        <v>41639</v>
      </c>
      <c r="AO4" s="57">
        <v>41639</v>
      </c>
      <c r="AP4" s="3">
        <v>41729</v>
      </c>
      <c r="AQ4" s="3">
        <v>41820</v>
      </c>
      <c r="AR4" s="3">
        <v>41912</v>
      </c>
      <c r="AS4" s="3">
        <v>42004</v>
      </c>
      <c r="AT4" s="57">
        <v>42004</v>
      </c>
      <c r="AU4" s="3">
        <v>42094</v>
      </c>
      <c r="AV4" s="3">
        <v>42185</v>
      </c>
      <c r="AW4" s="3">
        <v>42277</v>
      </c>
      <c r="AX4" s="3">
        <v>42369</v>
      </c>
      <c r="AY4" s="57">
        <v>42369</v>
      </c>
      <c r="AZ4" s="3">
        <v>42460</v>
      </c>
      <c r="BA4" s="3">
        <v>42551</v>
      </c>
      <c r="BB4" s="3">
        <v>42643</v>
      </c>
      <c r="BC4" s="3">
        <v>42735</v>
      </c>
      <c r="BD4" s="57">
        <v>42735</v>
      </c>
      <c r="BE4" s="3">
        <v>42825</v>
      </c>
      <c r="BF4" s="3">
        <v>42916</v>
      </c>
      <c r="BG4" s="3">
        <v>43008</v>
      </c>
      <c r="BH4" s="3">
        <v>43100</v>
      </c>
      <c r="BI4" s="57">
        <v>43100</v>
      </c>
      <c r="BJ4" s="3">
        <v>43190</v>
      </c>
      <c r="BK4" s="3">
        <v>43281</v>
      </c>
      <c r="BL4" s="3">
        <v>43373</v>
      </c>
      <c r="BM4" s="3">
        <v>43465</v>
      </c>
      <c r="BN4" s="57">
        <v>43465</v>
      </c>
      <c r="BO4" s="3">
        <v>43555</v>
      </c>
      <c r="BP4" s="3">
        <v>43646</v>
      </c>
      <c r="BQ4" s="3">
        <v>43738</v>
      </c>
      <c r="BR4" s="3">
        <v>43830</v>
      </c>
      <c r="BS4" s="57">
        <v>43830</v>
      </c>
      <c r="BT4" s="3">
        <v>43921</v>
      </c>
      <c r="BU4" s="3">
        <v>44012</v>
      </c>
      <c r="BV4" s="3">
        <v>44104</v>
      </c>
      <c r="BW4" s="3">
        <v>44196</v>
      </c>
      <c r="BX4" s="57">
        <v>44196</v>
      </c>
      <c r="BY4" s="3">
        <v>44286</v>
      </c>
      <c r="BZ4" s="3">
        <v>44377</v>
      </c>
      <c r="CA4" s="3">
        <v>44469</v>
      </c>
      <c r="CB4" s="3">
        <v>44561</v>
      </c>
      <c r="CC4" s="57">
        <v>44561</v>
      </c>
      <c r="CD4" s="3">
        <v>44651</v>
      </c>
      <c r="CE4" s="3">
        <v>44742</v>
      </c>
      <c r="CF4" s="3">
        <v>44834</v>
      </c>
      <c r="CG4" s="3">
        <v>44926</v>
      </c>
      <c r="CH4" s="57">
        <v>44926</v>
      </c>
      <c r="CI4" s="3">
        <v>45016</v>
      </c>
      <c r="CJ4" s="3">
        <v>45107</v>
      </c>
      <c r="CK4" s="3">
        <v>45199</v>
      </c>
      <c r="CL4" s="3">
        <v>45291</v>
      </c>
      <c r="CM4" s="57">
        <v>45291</v>
      </c>
      <c r="CN4" s="3">
        <v>45382</v>
      </c>
      <c r="CO4" s="3">
        <v>45473</v>
      </c>
      <c r="CP4" s="3">
        <v>45565</v>
      </c>
      <c r="CQ4" s="3">
        <v>45657</v>
      </c>
      <c r="CR4" s="57">
        <v>45657</v>
      </c>
    </row>
    <row r="5" spans="1:96" s="2" customFormat="1" ht="11.15" customHeight="1" x14ac:dyDescent="0.25">
      <c r="A5" s="6" t="s">
        <v>164</v>
      </c>
      <c r="B5" s="40">
        <v>32743</v>
      </c>
      <c r="C5" s="40">
        <v>32184</v>
      </c>
      <c r="D5" s="40">
        <v>36201</v>
      </c>
      <c r="E5" s="40">
        <v>42097</v>
      </c>
      <c r="F5" s="58">
        <f>SUM(B5:E5)</f>
        <v>143225</v>
      </c>
      <c r="G5" s="40">
        <v>41753</v>
      </c>
      <c r="H5" s="40">
        <v>43952</v>
      </c>
      <c r="I5" s="40">
        <v>47905</v>
      </c>
      <c r="J5" s="40">
        <v>55067</v>
      </c>
      <c r="K5" s="58">
        <f>SUM(G5:J5)</f>
        <v>188677</v>
      </c>
      <c r="L5" s="40">
        <v>52876</v>
      </c>
      <c r="M5" s="40">
        <v>55994</v>
      </c>
      <c r="N5" s="40">
        <v>62012</v>
      </c>
      <c r="O5" s="40">
        <v>58194</v>
      </c>
      <c r="P5" s="58">
        <f>SUM(L5:O5)</f>
        <v>229076</v>
      </c>
      <c r="Q5" s="40">
        <v>45408</v>
      </c>
      <c r="R5" s="40">
        <v>40385</v>
      </c>
      <c r="S5" s="40">
        <v>45808</v>
      </c>
      <c r="T5" s="40">
        <v>54293</v>
      </c>
      <c r="U5" s="58">
        <f>SUM(Q5:T5)</f>
        <v>185894</v>
      </c>
      <c r="V5" s="40">
        <v>51204</v>
      </c>
      <c r="W5" s="40">
        <v>67258</v>
      </c>
      <c r="X5" s="40">
        <v>79809</v>
      </c>
      <c r="Y5" s="40">
        <v>100985</v>
      </c>
      <c r="Z5" s="58">
        <f>SUM(V5:Y5)</f>
        <v>299256</v>
      </c>
      <c r="AA5" s="40">
        <v>99958</v>
      </c>
      <c r="AB5" s="40">
        <v>121936</v>
      </c>
      <c r="AC5" s="40">
        <v>129064</v>
      </c>
      <c r="AD5" s="40">
        <v>123524</v>
      </c>
      <c r="AE5" s="58">
        <f>SUM(AA5:AD5)</f>
        <v>474482</v>
      </c>
      <c r="AF5" s="40">
        <v>123192</v>
      </c>
      <c r="AG5" s="40">
        <v>137927</v>
      </c>
      <c r="AH5" s="40">
        <v>156379</v>
      </c>
      <c r="AI5" s="40">
        <v>145030</v>
      </c>
      <c r="AJ5" s="58">
        <f>SUM(AF5:AI5)</f>
        <v>562528</v>
      </c>
      <c r="AK5" s="40">
        <v>141852</v>
      </c>
      <c r="AL5" s="40">
        <v>168171</v>
      </c>
      <c r="AM5" s="40">
        <v>172152</v>
      </c>
      <c r="AN5" s="40">
        <v>165859</v>
      </c>
      <c r="AO5" s="58">
        <f>SUM(AK5:AN5)</f>
        <v>648034</v>
      </c>
      <c r="AP5" s="40">
        <v>170575</v>
      </c>
      <c r="AQ5" s="40">
        <v>192204</v>
      </c>
      <c r="AR5" s="40">
        <v>199651</v>
      </c>
      <c r="AS5" s="40">
        <v>207402</v>
      </c>
      <c r="AT5" s="58">
        <f>SUM(AP5:AS5)</f>
        <v>769832</v>
      </c>
      <c r="AU5" s="40">
        <v>198960</v>
      </c>
      <c r="AV5" s="40">
        <v>235138</v>
      </c>
      <c r="AW5" s="40">
        <v>243541</v>
      </c>
      <c r="AX5" s="40">
        <v>223626</v>
      </c>
      <c r="AY5" s="58">
        <f>SUM(AU5:AX5)</f>
        <v>901265</v>
      </c>
      <c r="AZ5" s="40">
        <v>207248</v>
      </c>
      <c r="BA5" s="40">
        <v>252787</v>
      </c>
      <c r="BB5" s="40">
        <v>266017</v>
      </c>
      <c r="BC5" s="40">
        <v>280121</v>
      </c>
      <c r="BD5" s="58">
        <f>SUM(AZ5:BC5)</f>
        <v>1006173</v>
      </c>
      <c r="BE5" s="40">
        <v>285846</v>
      </c>
      <c r="BF5" s="40">
        <v>369373</v>
      </c>
      <c r="BG5" s="40">
        <v>392615</v>
      </c>
      <c r="BH5" s="40">
        <v>361055</v>
      </c>
      <c r="BI5" s="58">
        <f>SUM(BE5:BH5)</f>
        <v>1408889</v>
      </c>
      <c r="BJ5" s="40">
        <v>359864</v>
      </c>
      <c r="BK5" s="40">
        <v>413613</v>
      </c>
      <c r="BL5" s="40">
        <v>356346</v>
      </c>
      <c r="BM5" s="40">
        <v>330051</v>
      </c>
      <c r="BN5" s="58">
        <f>SUM(BJ5:BM5)</f>
        <v>1459874</v>
      </c>
      <c r="BO5" s="40">
        <v>315047</v>
      </c>
      <c r="BP5" s="40">
        <v>363769</v>
      </c>
      <c r="BQ5" s="40">
        <v>329138</v>
      </c>
      <c r="BR5" s="40">
        <v>306627</v>
      </c>
      <c r="BS5" s="58">
        <f>SUM(BO5:BR5)</f>
        <v>1314581</v>
      </c>
      <c r="BT5" s="40">
        <v>249242</v>
      </c>
      <c r="BU5" s="40">
        <v>296411</v>
      </c>
      <c r="BV5" s="40">
        <v>318441</v>
      </c>
      <c r="BW5" s="40">
        <v>336630</v>
      </c>
      <c r="BX5" s="58">
        <f>SUM(BT5:BW5)</f>
        <v>1200724</v>
      </c>
      <c r="BY5" s="40">
        <v>345585</v>
      </c>
      <c r="BZ5" s="40">
        <v>371658</v>
      </c>
      <c r="CA5" s="40">
        <v>379150</v>
      </c>
      <c r="CB5" s="40">
        <v>364467</v>
      </c>
      <c r="CC5" s="58">
        <f>SUM(BY5:CB5)</f>
        <v>1460860</v>
      </c>
      <c r="CD5" s="40">
        <v>369979</v>
      </c>
      <c r="CE5" s="40">
        <v>377023</v>
      </c>
      <c r="CF5" s="40">
        <v>349006</v>
      </c>
      <c r="CG5" s="40">
        <v>333539</v>
      </c>
      <c r="CH5" s="58">
        <f>SUM(CD5:CG5)</f>
        <v>1429547</v>
      </c>
      <c r="CI5" s="40">
        <v>347174</v>
      </c>
      <c r="CJ5" s="40">
        <v>339971</v>
      </c>
      <c r="CK5" s="40">
        <v>301401</v>
      </c>
      <c r="CL5" s="40">
        <v>298893</v>
      </c>
      <c r="CM5" s="58">
        <f>SUM(CI5:CL5)</f>
        <v>1287439</v>
      </c>
      <c r="CN5" s="40">
        <v>252009</v>
      </c>
      <c r="CO5" s="40">
        <v>257645</v>
      </c>
      <c r="CP5" s="40"/>
      <c r="CQ5" s="40"/>
      <c r="CR5" s="58">
        <f>SUM(CN5:CQ5)</f>
        <v>509654</v>
      </c>
    </row>
    <row r="6" spans="1:96" s="2" customFormat="1" ht="11.15" customHeight="1" x14ac:dyDescent="0.25">
      <c r="A6" s="6" t="s">
        <v>45</v>
      </c>
      <c r="B6" s="37">
        <v>20278</v>
      </c>
      <c r="C6" s="37">
        <v>18841</v>
      </c>
      <c r="D6" s="37">
        <v>18864</v>
      </c>
      <c r="E6" s="41">
        <v>21948</v>
      </c>
      <c r="F6" s="59">
        <f>SUM(B6:E6)</f>
        <v>79931</v>
      </c>
      <c r="G6" s="37">
        <v>22422</v>
      </c>
      <c r="H6" s="37">
        <v>23633</v>
      </c>
      <c r="I6" s="37">
        <v>26200</v>
      </c>
      <c r="J6" s="41">
        <v>31440</v>
      </c>
      <c r="K6" s="59">
        <f>SUM(G6:J6)</f>
        <v>103695</v>
      </c>
      <c r="L6" s="37">
        <v>28476</v>
      </c>
      <c r="M6" s="37">
        <v>29047</v>
      </c>
      <c r="N6" s="37">
        <v>32590</v>
      </c>
      <c r="O6" s="41">
        <v>31663</v>
      </c>
      <c r="P6" s="59">
        <f>SUM(L6:O6)</f>
        <v>121776</v>
      </c>
      <c r="Q6" s="37">
        <v>29547</v>
      </c>
      <c r="R6" s="37">
        <v>28613</v>
      </c>
      <c r="S6" s="37">
        <v>29085</v>
      </c>
      <c r="T6" s="41">
        <v>34381</v>
      </c>
      <c r="U6" s="59">
        <f>SUM(Q6:T6)</f>
        <v>121626</v>
      </c>
      <c r="V6" s="37">
        <v>30657</v>
      </c>
      <c r="W6" s="37">
        <v>36797</v>
      </c>
      <c r="X6" s="37">
        <v>39878</v>
      </c>
      <c r="Y6" s="41">
        <v>45466</v>
      </c>
      <c r="Z6" s="59">
        <f>SUM(V6:Y6)</f>
        <v>152798</v>
      </c>
      <c r="AA6" s="37">
        <v>46292</v>
      </c>
      <c r="AB6" s="37">
        <v>55230</v>
      </c>
      <c r="AC6" s="37">
        <v>58605</v>
      </c>
      <c r="AD6" s="41">
        <v>57100</v>
      </c>
      <c r="AE6" s="59">
        <f>SUM(AA6:AD6)</f>
        <v>217227</v>
      </c>
      <c r="AF6" s="37">
        <v>54508</v>
      </c>
      <c r="AG6" s="37">
        <v>63017</v>
      </c>
      <c r="AH6" s="37">
        <v>70420</v>
      </c>
      <c r="AI6" s="41">
        <v>69856</v>
      </c>
      <c r="AJ6" s="59">
        <f>SUM(AF6:AI6)</f>
        <v>257801</v>
      </c>
      <c r="AK6" s="37">
        <v>66211</v>
      </c>
      <c r="AL6" s="37">
        <v>78249</v>
      </c>
      <c r="AM6" s="37">
        <v>79339</v>
      </c>
      <c r="AN6" s="41">
        <v>84337</v>
      </c>
      <c r="AO6" s="59">
        <f>SUM(AK6:AN6)</f>
        <v>308136</v>
      </c>
      <c r="AP6" s="37">
        <v>81291</v>
      </c>
      <c r="AQ6" s="37">
        <v>87977</v>
      </c>
      <c r="AR6" s="37">
        <v>90561</v>
      </c>
      <c r="AS6" s="41">
        <v>93485</v>
      </c>
      <c r="AT6" s="59">
        <f>SUM(AP6:AS6)</f>
        <v>353314</v>
      </c>
      <c r="AU6" s="37">
        <v>91133</v>
      </c>
      <c r="AV6" s="37">
        <v>106435</v>
      </c>
      <c r="AW6" s="37">
        <v>110237</v>
      </c>
      <c r="AX6" s="41">
        <v>101583</v>
      </c>
      <c r="AY6" s="59">
        <f>SUM(AU6:AX6)</f>
        <v>409388</v>
      </c>
      <c r="AZ6" s="37">
        <v>92838</v>
      </c>
      <c r="BA6" s="37">
        <v>115083</v>
      </c>
      <c r="BB6" s="37">
        <v>121226</v>
      </c>
      <c r="BC6" s="41">
        <v>124785</v>
      </c>
      <c r="BD6" s="59">
        <f>SUM(AZ6:BC6)</f>
        <v>453932</v>
      </c>
      <c r="BE6" s="37">
        <v>128579</v>
      </c>
      <c r="BF6" s="37">
        <v>163077</v>
      </c>
      <c r="BG6" s="37">
        <v>168060</v>
      </c>
      <c r="BH6" s="41">
        <v>152262</v>
      </c>
      <c r="BI6" s="59">
        <f>SUM(BE6:BH6)</f>
        <v>611978</v>
      </c>
      <c r="BJ6" s="37">
        <v>156502</v>
      </c>
      <c r="BK6" s="37">
        <v>178638</v>
      </c>
      <c r="BL6" s="37">
        <v>161162</v>
      </c>
      <c r="BM6" s="41">
        <v>163303</v>
      </c>
      <c r="BN6" s="59">
        <f>SUM(BJ6:BM6)</f>
        <v>659605</v>
      </c>
      <c r="BO6" s="37">
        <v>166136</v>
      </c>
      <c r="BP6" s="37">
        <v>183532</v>
      </c>
      <c r="BQ6" s="37">
        <v>176280</v>
      </c>
      <c r="BR6" s="41">
        <v>182424</v>
      </c>
      <c r="BS6" s="59">
        <f>SUM(BO6:BR6)</f>
        <v>708372</v>
      </c>
      <c r="BT6" s="37">
        <v>146366</v>
      </c>
      <c r="BU6" s="37">
        <v>159962</v>
      </c>
      <c r="BV6" s="37">
        <v>165649</v>
      </c>
      <c r="BW6" s="40">
        <v>189751</v>
      </c>
      <c r="BX6" s="59">
        <f>SUM(BT6:BW6)</f>
        <v>661728</v>
      </c>
      <c r="BY6" s="37">
        <v>181594</v>
      </c>
      <c r="BZ6" s="37">
        <v>191130</v>
      </c>
      <c r="CA6" s="37">
        <v>193276</v>
      </c>
      <c r="CB6" s="40">
        <v>198462</v>
      </c>
      <c r="CC6" s="59">
        <f>SUM(BY6:CB6)</f>
        <v>764462</v>
      </c>
      <c r="CD6" s="37">
        <v>198158</v>
      </c>
      <c r="CE6" s="101">
        <v>204679</v>
      </c>
      <c r="CF6" s="101">
        <v>198582</v>
      </c>
      <c r="CG6" s="101">
        <v>272715</v>
      </c>
      <c r="CH6" s="59">
        <f>SUM(CD6:CG6)</f>
        <v>874134</v>
      </c>
      <c r="CI6" s="37">
        <v>200236</v>
      </c>
      <c r="CJ6" s="37">
        <v>192280</v>
      </c>
      <c r="CK6" s="101">
        <v>168499</v>
      </c>
      <c r="CL6" s="101">
        <v>184726</v>
      </c>
      <c r="CM6" s="59">
        <f>SUM(CI6:CL6)</f>
        <v>745741</v>
      </c>
      <c r="CN6" s="37">
        <v>154473</v>
      </c>
      <c r="CO6" s="40">
        <v>161459</v>
      </c>
      <c r="CP6" s="101"/>
      <c r="CQ6" s="101"/>
      <c r="CR6" s="59">
        <f>SUM(CN6:CQ6)</f>
        <v>315932</v>
      </c>
    </row>
    <row r="7" spans="1:96" ht="11.15" customHeight="1" x14ac:dyDescent="0.2">
      <c r="A7" s="6" t="s">
        <v>136</v>
      </c>
      <c r="B7" s="12">
        <f>B5-B6</f>
        <v>12465</v>
      </c>
      <c r="C7" s="12">
        <f>C5-C6</f>
        <v>13343</v>
      </c>
      <c r="D7" s="12">
        <f>D5-D6</f>
        <v>17337</v>
      </c>
      <c r="E7" s="33">
        <f>E5-E6</f>
        <v>20149</v>
      </c>
      <c r="F7" s="60">
        <f>SUM(B7:E7)</f>
        <v>63294</v>
      </c>
      <c r="G7" s="12">
        <f>G5-G6</f>
        <v>19331</v>
      </c>
      <c r="H7" s="12">
        <f>H5-H6</f>
        <v>20319</v>
      </c>
      <c r="I7" s="12">
        <f>I5-I6</f>
        <v>21705</v>
      </c>
      <c r="J7" s="33">
        <f>J5-J6</f>
        <v>23627</v>
      </c>
      <c r="K7" s="60">
        <f>SUM(G7:J7)</f>
        <v>84982</v>
      </c>
      <c r="L7" s="12">
        <f>L5-L6</f>
        <v>24400</v>
      </c>
      <c r="M7" s="12">
        <f>M5-M6</f>
        <v>26947</v>
      </c>
      <c r="N7" s="12">
        <f>N5-N6</f>
        <v>29422</v>
      </c>
      <c r="O7" s="33">
        <f>O5-O6</f>
        <v>26531</v>
      </c>
      <c r="P7" s="60">
        <f>SUM(L7:O7)</f>
        <v>107300</v>
      </c>
      <c r="Q7" s="12">
        <f>Q5-Q6</f>
        <v>15861</v>
      </c>
      <c r="R7" s="12">
        <f>R5-R6</f>
        <v>11772</v>
      </c>
      <c r="S7" s="12">
        <f>S5-S6</f>
        <v>16723</v>
      </c>
      <c r="T7" s="33">
        <f>T5-T6</f>
        <v>19912</v>
      </c>
      <c r="U7" s="60">
        <f>SUM(Q7:T7)</f>
        <v>64268</v>
      </c>
      <c r="V7" s="12">
        <f>V5-V6</f>
        <v>20547</v>
      </c>
      <c r="W7" s="12">
        <f>W5-W6</f>
        <v>30461</v>
      </c>
      <c r="X7" s="12">
        <f>X5-X6</f>
        <v>39931</v>
      </c>
      <c r="Y7" s="33">
        <f>Y5-Y6</f>
        <v>55519</v>
      </c>
      <c r="Z7" s="60">
        <f>SUM(V7:Y7)</f>
        <v>146458</v>
      </c>
      <c r="AA7" s="12">
        <f>AA5-AA6</f>
        <v>53666</v>
      </c>
      <c r="AB7" s="12">
        <f>AB5-AB6</f>
        <v>66706</v>
      </c>
      <c r="AC7" s="12">
        <f>AC5-AC6</f>
        <v>70459</v>
      </c>
      <c r="AD7" s="33">
        <f>AD5-AD6</f>
        <v>66424</v>
      </c>
      <c r="AE7" s="60">
        <f>SUM(AA7:AD7)</f>
        <v>257255</v>
      </c>
      <c r="AF7" s="12">
        <f>AF5-AF6</f>
        <v>68684</v>
      </c>
      <c r="AG7" s="12">
        <f>AG5-AG6</f>
        <v>74910</v>
      </c>
      <c r="AH7" s="12">
        <f>AH5-AH6</f>
        <v>85959</v>
      </c>
      <c r="AI7" s="33">
        <f>AI5-AI6</f>
        <v>75174</v>
      </c>
      <c r="AJ7" s="60">
        <f>SUM(AF7:AI7)</f>
        <v>304727</v>
      </c>
      <c r="AK7" s="12">
        <f>AK5-AK6</f>
        <v>75641</v>
      </c>
      <c r="AL7" s="12">
        <f>AL5-AL6</f>
        <v>89922</v>
      </c>
      <c r="AM7" s="12">
        <f>AM5-AM6</f>
        <v>92813</v>
      </c>
      <c r="AN7" s="33">
        <f>AN5-AN6</f>
        <v>81522</v>
      </c>
      <c r="AO7" s="60">
        <f>SUM(AK7:AN7)</f>
        <v>339898</v>
      </c>
      <c r="AP7" s="12">
        <f>AP5-AP6</f>
        <v>89284</v>
      </c>
      <c r="AQ7" s="12">
        <f>AQ5-AQ6</f>
        <v>104227</v>
      </c>
      <c r="AR7" s="12">
        <f>AR5-AR6</f>
        <v>109090</v>
      </c>
      <c r="AS7" s="33">
        <f>AS5-AS6</f>
        <v>113917</v>
      </c>
      <c r="AT7" s="60">
        <f>SUM(AP7:AS7)</f>
        <v>416518</v>
      </c>
      <c r="AU7" s="12">
        <f>AU5-AU6</f>
        <v>107827</v>
      </c>
      <c r="AV7" s="12">
        <f>AV5-AV6</f>
        <v>128703</v>
      </c>
      <c r="AW7" s="12">
        <f>AW5-AW6</f>
        <v>133304</v>
      </c>
      <c r="AX7" s="33">
        <f>AX5-AX6</f>
        <v>122043</v>
      </c>
      <c r="AY7" s="60">
        <f>SUM(AU7:AX7)</f>
        <v>491877</v>
      </c>
      <c r="AZ7" s="12">
        <f>AZ5-AZ6</f>
        <v>114410</v>
      </c>
      <c r="BA7" s="12">
        <f>BA5-BA6</f>
        <v>137704</v>
      </c>
      <c r="BB7" s="12">
        <f>BB5-BB6</f>
        <v>144791</v>
      </c>
      <c r="BC7" s="33">
        <f>BC5-BC6</f>
        <v>155336</v>
      </c>
      <c r="BD7" s="60">
        <f>SUM(AZ7:BC7)</f>
        <v>552241</v>
      </c>
      <c r="BE7" s="12">
        <f>BE5-BE6</f>
        <v>157267</v>
      </c>
      <c r="BF7" s="12">
        <f>BF5-BF6</f>
        <v>206296</v>
      </c>
      <c r="BG7" s="12">
        <f>BG5-BG6</f>
        <v>224555</v>
      </c>
      <c r="BH7" s="33">
        <f>BH5-BH6</f>
        <v>208793</v>
      </c>
      <c r="BI7" s="60">
        <f>SUM(BE7:BH7)</f>
        <v>796911</v>
      </c>
      <c r="BJ7" s="12">
        <f>BJ5-BJ6</f>
        <v>203362</v>
      </c>
      <c r="BK7" s="12">
        <f>BK5-BK6</f>
        <v>234975</v>
      </c>
      <c r="BL7" s="12">
        <f>BL5-BL6</f>
        <v>195184</v>
      </c>
      <c r="BM7" s="33">
        <f>BM5-BM6</f>
        <v>166748</v>
      </c>
      <c r="BN7" s="60">
        <f>SUM(BJ7:BM7)</f>
        <v>800269</v>
      </c>
      <c r="BO7" s="12">
        <f>BO5-BO6</f>
        <v>148911</v>
      </c>
      <c r="BP7" s="12">
        <f>BP5-BP6</f>
        <v>180237</v>
      </c>
      <c r="BQ7" s="12">
        <f>BQ5-BQ6</f>
        <v>152858</v>
      </c>
      <c r="BR7" s="33">
        <f>BR5-BR6</f>
        <v>124203</v>
      </c>
      <c r="BS7" s="60">
        <f>SUM(BO7:BR7)</f>
        <v>606209</v>
      </c>
      <c r="BT7" s="12">
        <f>BT5-BT6</f>
        <v>102876</v>
      </c>
      <c r="BU7" s="12">
        <f>BU5-BU6</f>
        <v>136449</v>
      </c>
      <c r="BV7" s="12">
        <f>BV5-BV6</f>
        <v>152792</v>
      </c>
      <c r="BW7" s="33">
        <f>BW5-BW6</f>
        <v>146879</v>
      </c>
      <c r="BX7" s="60">
        <f>SUM(BT7:BW7)</f>
        <v>538996</v>
      </c>
      <c r="BY7" s="12">
        <f>BY5-BY6</f>
        <v>163991</v>
      </c>
      <c r="BZ7" s="12">
        <f>BZ5-BZ6</f>
        <v>180528</v>
      </c>
      <c r="CA7" s="12">
        <f>CA5-CA6</f>
        <v>185874</v>
      </c>
      <c r="CB7" s="12">
        <f>CB5-CB6</f>
        <v>166005</v>
      </c>
      <c r="CC7" s="60">
        <f>SUM(BY7:CB7)</f>
        <v>696398</v>
      </c>
      <c r="CD7" s="12">
        <f>CD5-CD6</f>
        <v>171821</v>
      </c>
      <c r="CE7" s="12">
        <f>CE5-CE6</f>
        <v>172344</v>
      </c>
      <c r="CF7" s="12">
        <f>CF5-CF6</f>
        <v>150424</v>
      </c>
      <c r="CG7" s="12">
        <f>CG5-CG6</f>
        <v>60824</v>
      </c>
      <c r="CH7" s="60">
        <f>SUM(CD7:CG7)</f>
        <v>555413</v>
      </c>
      <c r="CI7" s="12">
        <f>CI5-CI6</f>
        <v>146938</v>
      </c>
      <c r="CJ7" s="12">
        <f t="shared" ref="CJ7:CL7" si="0">CJ5-CJ6</f>
        <v>147691</v>
      </c>
      <c r="CK7" s="12">
        <f t="shared" si="0"/>
        <v>132902</v>
      </c>
      <c r="CL7" s="12">
        <f t="shared" si="0"/>
        <v>114167</v>
      </c>
      <c r="CM7" s="60">
        <f>SUM(CI7:CL7)</f>
        <v>541698</v>
      </c>
      <c r="CN7" s="12">
        <f>CN5-CN6</f>
        <v>97536</v>
      </c>
      <c r="CO7" s="12">
        <f>CO5-CO6</f>
        <v>96186</v>
      </c>
      <c r="CP7" s="12"/>
      <c r="CQ7" s="12"/>
      <c r="CR7" s="60">
        <f>SUM(CN7:CQ7)</f>
        <v>193722</v>
      </c>
    </row>
    <row r="8" spans="1:96" ht="11.15" customHeight="1" x14ac:dyDescent="0.2">
      <c r="A8" s="7"/>
      <c r="B8" s="10"/>
      <c r="C8" s="10"/>
      <c r="D8" s="10"/>
      <c r="E8" s="10"/>
      <c r="F8" s="61"/>
      <c r="G8" s="10"/>
      <c r="H8" s="10"/>
      <c r="I8" s="10"/>
      <c r="J8" s="10"/>
      <c r="K8" s="61"/>
      <c r="L8" s="10"/>
      <c r="M8" s="10"/>
      <c r="N8" s="10"/>
      <c r="O8" s="10"/>
      <c r="P8" s="61"/>
      <c r="Q8" s="10"/>
      <c r="R8" s="10"/>
      <c r="S8" s="10"/>
      <c r="T8" s="10"/>
      <c r="U8" s="61"/>
      <c r="V8" s="10"/>
      <c r="W8" s="10"/>
      <c r="X8" s="10"/>
      <c r="Y8" s="10"/>
      <c r="Z8" s="61"/>
      <c r="AA8" s="10"/>
      <c r="AB8" s="10"/>
      <c r="AC8" s="10"/>
      <c r="AD8" s="10"/>
      <c r="AE8" s="61"/>
      <c r="AF8" s="10"/>
      <c r="AG8" s="10"/>
      <c r="AH8" s="10"/>
      <c r="AI8" s="10"/>
      <c r="AJ8" s="61"/>
      <c r="AK8" s="10"/>
      <c r="AL8" s="10"/>
      <c r="AM8" s="10"/>
      <c r="AN8" s="10"/>
      <c r="AO8" s="61"/>
      <c r="AP8" s="43"/>
      <c r="AQ8" s="10"/>
      <c r="AR8" s="10"/>
      <c r="AS8" s="10"/>
      <c r="AT8" s="61"/>
      <c r="AU8" s="10"/>
      <c r="AV8" s="10"/>
      <c r="AW8" s="10"/>
      <c r="AX8" s="10"/>
      <c r="AY8" s="61"/>
      <c r="AZ8" s="43"/>
      <c r="BA8" s="43"/>
      <c r="BB8" s="43"/>
      <c r="BC8" s="43"/>
      <c r="BD8" s="61"/>
      <c r="BE8" s="43"/>
      <c r="BF8" s="43"/>
      <c r="BG8" s="43"/>
      <c r="BH8" s="43"/>
      <c r="BI8" s="61"/>
      <c r="BJ8" s="43"/>
      <c r="BK8" s="43"/>
      <c r="BL8" s="88"/>
      <c r="BM8" s="43"/>
      <c r="BN8" s="61"/>
      <c r="BO8" s="43"/>
      <c r="BP8" s="43"/>
      <c r="BQ8" s="43"/>
      <c r="BR8" s="43"/>
      <c r="BS8" s="61"/>
      <c r="BT8" s="43"/>
      <c r="BU8" s="43"/>
      <c r="BV8" s="43"/>
      <c r="BW8" s="43"/>
      <c r="BX8" s="61"/>
      <c r="BY8" s="43"/>
      <c r="BZ8" s="43"/>
      <c r="CA8" s="43"/>
      <c r="CB8" s="43"/>
      <c r="CC8" s="61"/>
      <c r="CD8" s="43"/>
      <c r="CE8" s="43"/>
      <c r="CF8" s="43"/>
      <c r="CG8" s="43"/>
      <c r="CH8" s="61"/>
      <c r="CI8" s="43"/>
      <c r="CJ8" s="43"/>
      <c r="CK8" s="43"/>
      <c r="CL8" s="43"/>
      <c r="CM8" s="61"/>
      <c r="CN8" s="43"/>
      <c r="CO8" s="43"/>
      <c r="CP8" s="43"/>
      <c r="CQ8" s="43"/>
      <c r="CR8" s="61"/>
    </row>
    <row r="9" spans="1:96" ht="11.15" customHeight="1" x14ac:dyDescent="0.2">
      <c r="A9" s="6" t="s">
        <v>165</v>
      </c>
      <c r="B9" s="10"/>
      <c r="C9" s="10"/>
      <c r="D9" s="10"/>
      <c r="E9" s="10"/>
      <c r="F9" s="61"/>
      <c r="G9" s="10"/>
      <c r="H9" s="10"/>
      <c r="I9" s="10"/>
      <c r="J9" s="10"/>
      <c r="K9" s="61"/>
      <c r="L9" s="10"/>
      <c r="M9" s="10"/>
      <c r="N9" s="10"/>
      <c r="O9" s="10"/>
      <c r="P9" s="61"/>
      <c r="Q9" s="10"/>
      <c r="R9" s="10"/>
      <c r="S9" s="10"/>
      <c r="T9" s="10"/>
      <c r="U9" s="61"/>
      <c r="V9" s="10"/>
      <c r="W9" s="10"/>
      <c r="X9" s="10"/>
      <c r="Y9" s="10"/>
      <c r="Z9" s="61"/>
      <c r="AA9" s="10"/>
      <c r="AB9" s="10"/>
      <c r="AC9" s="10"/>
      <c r="AD9" s="10"/>
      <c r="AE9" s="61"/>
      <c r="AF9" s="10"/>
      <c r="AG9" s="10"/>
      <c r="AH9" s="10"/>
      <c r="AI9" s="10"/>
      <c r="AJ9" s="61"/>
      <c r="AK9" s="10"/>
      <c r="AL9" s="10"/>
      <c r="AM9" s="10"/>
      <c r="AN9" s="10"/>
      <c r="AO9" s="61"/>
      <c r="AP9" s="10"/>
      <c r="AQ9" s="10"/>
      <c r="AR9" s="10"/>
      <c r="AS9" s="10"/>
      <c r="AT9" s="61"/>
      <c r="AU9" s="10"/>
      <c r="AV9" s="10"/>
      <c r="AW9" s="10"/>
      <c r="AX9" s="10"/>
      <c r="AY9" s="61"/>
      <c r="AZ9" s="10"/>
      <c r="BA9" s="10"/>
      <c r="BB9" s="10"/>
      <c r="BC9" s="10"/>
      <c r="BD9" s="61"/>
      <c r="BE9" s="10"/>
      <c r="BF9" s="10"/>
      <c r="BG9" s="10"/>
      <c r="BH9" s="10"/>
      <c r="BI9" s="61"/>
      <c r="BJ9" s="10"/>
      <c r="BK9" s="10"/>
      <c r="BL9" s="10"/>
      <c r="BM9" s="10"/>
      <c r="BN9" s="61"/>
      <c r="BO9" s="10"/>
      <c r="BP9" s="10"/>
      <c r="BQ9" s="10"/>
      <c r="BR9" s="10"/>
      <c r="BS9" s="61"/>
      <c r="BT9" s="10"/>
      <c r="BU9" s="10"/>
      <c r="BV9" s="10"/>
      <c r="BW9" s="10"/>
      <c r="BX9" s="61"/>
      <c r="BY9" s="10"/>
      <c r="BZ9" s="10"/>
      <c r="CA9" s="10"/>
      <c r="CB9" s="10"/>
      <c r="CC9" s="61"/>
      <c r="CD9" s="10"/>
      <c r="CE9" s="10"/>
      <c r="CF9" s="10"/>
      <c r="CG9" s="10"/>
      <c r="CH9" s="61"/>
      <c r="CI9" s="10"/>
      <c r="CJ9" s="10"/>
      <c r="CK9" s="10"/>
      <c r="CL9" s="10"/>
      <c r="CM9" s="61"/>
      <c r="CN9" s="10"/>
      <c r="CO9" s="10"/>
      <c r="CP9" s="10"/>
      <c r="CQ9" s="10"/>
      <c r="CR9" s="61"/>
    </row>
    <row r="10" spans="1:96" ht="11.15" customHeight="1" x14ac:dyDescent="0.2">
      <c r="A10" s="7" t="s">
        <v>1</v>
      </c>
      <c r="B10" s="36">
        <v>1080</v>
      </c>
      <c r="C10" s="36">
        <v>1263</v>
      </c>
      <c r="D10" s="36">
        <v>1768</v>
      </c>
      <c r="E10" s="36">
        <v>2111</v>
      </c>
      <c r="F10" s="61">
        <f>SUM(B10:E10)</f>
        <v>6222</v>
      </c>
      <c r="G10" s="36">
        <v>1909</v>
      </c>
      <c r="H10" s="36">
        <v>2836</v>
      </c>
      <c r="I10" s="36">
        <v>2488</v>
      </c>
      <c r="J10" s="36">
        <v>2870</v>
      </c>
      <c r="K10" s="61">
        <f>SUM(G10:J10)</f>
        <v>10103</v>
      </c>
      <c r="L10" s="36">
        <v>3147</v>
      </c>
      <c r="M10" s="36">
        <v>3703</v>
      </c>
      <c r="N10" s="36">
        <v>3735</v>
      </c>
      <c r="O10" s="36">
        <v>3315</v>
      </c>
      <c r="P10" s="61">
        <f>SUM(L10:O10)</f>
        <v>13900</v>
      </c>
      <c r="Q10" s="36">
        <v>3189</v>
      </c>
      <c r="R10" s="36">
        <v>3880</v>
      </c>
      <c r="S10" s="36">
        <v>3788</v>
      </c>
      <c r="T10" s="36">
        <v>4300</v>
      </c>
      <c r="U10" s="61">
        <f>SUM(Q10:T10)</f>
        <v>15157</v>
      </c>
      <c r="V10" s="36">
        <v>4338</v>
      </c>
      <c r="W10" s="36">
        <v>4932</v>
      </c>
      <c r="X10" s="36">
        <v>4527</v>
      </c>
      <c r="Y10" s="36">
        <v>5303</v>
      </c>
      <c r="Z10" s="61">
        <f>SUM(V10:Y10)</f>
        <v>19100</v>
      </c>
      <c r="AA10" s="36">
        <v>4948</v>
      </c>
      <c r="AB10" s="36">
        <v>5847</v>
      </c>
      <c r="AC10" s="36">
        <v>5656</v>
      </c>
      <c r="AD10" s="36">
        <v>5280</v>
      </c>
      <c r="AE10" s="61">
        <f>SUM(AA10:AD10)</f>
        <v>21731</v>
      </c>
      <c r="AF10" s="36">
        <v>5132</v>
      </c>
      <c r="AG10" s="36">
        <v>5854</v>
      </c>
      <c r="AH10" s="36">
        <v>5785</v>
      </c>
      <c r="AI10" s="36">
        <v>7074</v>
      </c>
      <c r="AJ10" s="61">
        <f>SUM(AF10:AI10)</f>
        <v>23845</v>
      </c>
      <c r="AK10" s="36">
        <v>5868</v>
      </c>
      <c r="AL10" s="36">
        <v>6845</v>
      </c>
      <c r="AM10" s="36">
        <v>6801</v>
      </c>
      <c r="AN10" s="36">
        <v>7178</v>
      </c>
      <c r="AO10" s="61">
        <f>SUM(AK10:AN10)</f>
        <v>26692</v>
      </c>
      <c r="AP10" s="36">
        <v>7165</v>
      </c>
      <c r="AQ10" s="36">
        <v>8047.0000000000009</v>
      </c>
      <c r="AR10" s="36">
        <v>7496</v>
      </c>
      <c r="AS10" s="36">
        <v>7929</v>
      </c>
      <c r="AT10" s="61">
        <f>SUM(AP10:AS10)</f>
        <v>30637</v>
      </c>
      <c r="AU10" s="36">
        <v>7549</v>
      </c>
      <c r="AV10" s="36">
        <v>7962</v>
      </c>
      <c r="AW10" s="36">
        <v>7717</v>
      </c>
      <c r="AX10" s="36">
        <v>8640</v>
      </c>
      <c r="AY10" s="61">
        <f>SUM(AU10:AX10)</f>
        <v>31868</v>
      </c>
      <c r="AZ10" s="36">
        <v>8034.0000000000009</v>
      </c>
      <c r="BA10" s="36">
        <v>9689</v>
      </c>
      <c r="BB10" s="36">
        <v>10460</v>
      </c>
      <c r="BC10" s="36">
        <v>10210</v>
      </c>
      <c r="BD10" s="61">
        <f>SUM(AZ10:BC10)</f>
        <v>38393</v>
      </c>
      <c r="BE10" s="36">
        <v>10827</v>
      </c>
      <c r="BF10" s="36">
        <v>12136</v>
      </c>
      <c r="BG10" s="36">
        <v>13384</v>
      </c>
      <c r="BH10" s="36">
        <v>13454</v>
      </c>
      <c r="BI10" s="61">
        <f>SUM(BE10:BH10)</f>
        <v>49801</v>
      </c>
      <c r="BJ10" s="36">
        <v>13516</v>
      </c>
      <c r="BK10" s="36">
        <v>14536</v>
      </c>
      <c r="BL10" s="36">
        <v>13479</v>
      </c>
      <c r="BM10" s="36">
        <v>16284</v>
      </c>
      <c r="BN10" s="61">
        <f>SUM(BJ10:BM10)</f>
        <v>57815</v>
      </c>
      <c r="BO10" s="36">
        <v>19275</v>
      </c>
      <c r="BP10" s="36">
        <v>20663</v>
      </c>
      <c r="BQ10" s="36">
        <v>18969</v>
      </c>
      <c r="BR10" s="36">
        <v>18838</v>
      </c>
      <c r="BS10" s="61">
        <f>SUM(BO10:BR10)</f>
        <v>77745</v>
      </c>
      <c r="BT10" s="36">
        <v>18683</v>
      </c>
      <c r="BU10" s="36">
        <v>17326</v>
      </c>
      <c r="BV10" s="36">
        <v>17332</v>
      </c>
      <c r="BW10" s="36">
        <v>17242</v>
      </c>
      <c r="BX10" s="61">
        <f>SUM(BT10:BW10)</f>
        <v>70583</v>
      </c>
      <c r="BY10" s="36">
        <v>18883</v>
      </c>
      <c r="BZ10" s="36">
        <v>19193</v>
      </c>
      <c r="CA10" s="36">
        <v>20688</v>
      </c>
      <c r="CB10" s="36">
        <v>19416</v>
      </c>
      <c r="CC10" s="61">
        <f>SUM(BY10:CB10)</f>
        <v>78180</v>
      </c>
      <c r="CD10" s="36">
        <v>20374</v>
      </c>
      <c r="CE10" s="36">
        <v>19010</v>
      </c>
      <c r="CF10" s="36">
        <v>19383</v>
      </c>
      <c r="CG10" s="36">
        <v>17876</v>
      </c>
      <c r="CH10" s="61">
        <f>SUM(CD10:CG10)</f>
        <v>76643</v>
      </c>
      <c r="CI10" s="36">
        <v>21088</v>
      </c>
      <c r="CJ10" s="36">
        <v>20187</v>
      </c>
      <c r="CK10" s="36">
        <v>22243</v>
      </c>
      <c r="CL10" s="36">
        <v>22161</v>
      </c>
      <c r="CM10" s="61">
        <f>SUM(CI10:CL10)</f>
        <v>85679</v>
      </c>
      <c r="CN10" s="36">
        <v>22998</v>
      </c>
      <c r="CO10" s="36">
        <v>22487</v>
      </c>
      <c r="CP10" s="36"/>
      <c r="CQ10" s="36"/>
      <c r="CR10" s="61">
        <f>SUM(CN10:CQ10)</f>
        <v>45485</v>
      </c>
    </row>
    <row r="11" spans="1:96" ht="11.15" customHeight="1" x14ac:dyDescent="0.2">
      <c r="A11" s="7" t="s">
        <v>12</v>
      </c>
      <c r="B11" s="36">
        <v>1235</v>
      </c>
      <c r="C11" s="36">
        <v>1387</v>
      </c>
      <c r="D11" s="36">
        <v>1692</v>
      </c>
      <c r="E11" s="36">
        <v>2230</v>
      </c>
      <c r="F11" s="61">
        <f t="shared" ref="F11:F18" si="1">SUM(B11:E11)</f>
        <v>6544</v>
      </c>
      <c r="G11" s="36">
        <v>2129</v>
      </c>
      <c r="H11" s="36">
        <v>2388</v>
      </c>
      <c r="I11" s="36">
        <v>2354</v>
      </c>
      <c r="J11" s="36">
        <v>2656</v>
      </c>
      <c r="K11" s="61">
        <f t="shared" ref="K11:K18" si="2">SUM(G11:J11)</f>
        <v>9527</v>
      </c>
      <c r="L11" s="36">
        <v>2874</v>
      </c>
      <c r="M11" s="36">
        <v>4447</v>
      </c>
      <c r="N11" s="36">
        <v>4130</v>
      </c>
      <c r="O11" s="36">
        <v>4353</v>
      </c>
      <c r="P11" s="61">
        <f t="shared" ref="P11:P31" si="3">SUM(L11:O11)</f>
        <v>15804</v>
      </c>
      <c r="Q11" s="36">
        <v>4142</v>
      </c>
      <c r="R11" s="36">
        <v>4734</v>
      </c>
      <c r="S11" s="36">
        <v>4569</v>
      </c>
      <c r="T11" s="36">
        <v>5098</v>
      </c>
      <c r="U11" s="61">
        <f t="shared" ref="U11:U31" si="4">SUM(Q11:T11)</f>
        <v>18543</v>
      </c>
      <c r="V11" s="36">
        <v>4158</v>
      </c>
      <c r="W11" s="36">
        <v>4729</v>
      </c>
      <c r="X11" s="36">
        <v>4981</v>
      </c>
      <c r="Y11" s="36">
        <v>5292</v>
      </c>
      <c r="Z11" s="61">
        <f t="shared" ref="Z11:Z18" si="5">SUM(V11:Y11)</f>
        <v>19160</v>
      </c>
      <c r="AA11" s="36">
        <v>5731</v>
      </c>
      <c r="AB11" s="36">
        <v>6610</v>
      </c>
      <c r="AC11" s="36">
        <v>6501</v>
      </c>
      <c r="AD11" s="36">
        <v>6580</v>
      </c>
      <c r="AE11" s="61">
        <f t="shared" ref="AE11:AE31" si="6">SUM(AA11:AD11)</f>
        <v>25422</v>
      </c>
      <c r="AF11" s="36">
        <v>7140</v>
      </c>
      <c r="AG11" s="36">
        <v>7229</v>
      </c>
      <c r="AH11" s="36">
        <v>7762</v>
      </c>
      <c r="AI11" s="36">
        <v>9270</v>
      </c>
      <c r="AJ11" s="61">
        <f t="shared" ref="AJ11:AJ31" si="7">SUM(AF11:AI11)</f>
        <v>31401</v>
      </c>
      <c r="AK11" s="36">
        <v>8798</v>
      </c>
      <c r="AL11" s="36">
        <v>10483</v>
      </c>
      <c r="AM11" s="36">
        <v>11501</v>
      </c>
      <c r="AN11" s="36">
        <v>10878</v>
      </c>
      <c r="AO11" s="61">
        <f t="shared" ref="AO11:AO31" si="8">SUM(AK11:AN11)</f>
        <v>41660</v>
      </c>
      <c r="AP11" s="36">
        <v>12784</v>
      </c>
      <c r="AQ11" s="36">
        <v>13362</v>
      </c>
      <c r="AR11" s="36">
        <v>13447</v>
      </c>
      <c r="AS11" s="36">
        <v>13810</v>
      </c>
      <c r="AT11" s="61">
        <f t="shared" ref="AT11:AT31" si="9">SUM(AP11:AS11)</f>
        <v>53403</v>
      </c>
      <c r="AU11" s="36">
        <v>14230</v>
      </c>
      <c r="AV11" s="36">
        <v>15114</v>
      </c>
      <c r="AW11" s="36">
        <v>16221</v>
      </c>
      <c r="AX11" s="36">
        <v>17769</v>
      </c>
      <c r="AY11" s="61">
        <f t="shared" ref="AY11:AY31" si="10">SUM(AU11:AX11)</f>
        <v>63334</v>
      </c>
      <c r="AZ11" s="36">
        <v>17489</v>
      </c>
      <c r="BA11" s="36">
        <v>18412</v>
      </c>
      <c r="BB11" s="36">
        <v>20543</v>
      </c>
      <c r="BC11" s="36">
        <v>22108</v>
      </c>
      <c r="BD11" s="61">
        <f t="shared" ref="BD11:BD18" si="11">SUM(AZ11:BC11)</f>
        <v>78552</v>
      </c>
      <c r="BE11" s="36">
        <v>22780</v>
      </c>
      <c r="BF11" s="36">
        <v>25960</v>
      </c>
      <c r="BG11" s="36">
        <v>25541</v>
      </c>
      <c r="BH11" s="36">
        <v>26589</v>
      </c>
      <c r="BI11" s="61">
        <f t="shared" ref="BI11:BI18" si="12">SUM(BE11:BH11)</f>
        <v>100870</v>
      </c>
      <c r="BJ11" s="36">
        <v>28546</v>
      </c>
      <c r="BK11" s="36">
        <v>31813</v>
      </c>
      <c r="BL11" s="36">
        <v>30909</v>
      </c>
      <c r="BM11" s="36">
        <v>31501</v>
      </c>
      <c r="BN11" s="61">
        <f t="shared" ref="BN11:BN18" si="13">SUM(BJ11:BM11)</f>
        <v>122769</v>
      </c>
      <c r="BO11" s="36">
        <v>32496</v>
      </c>
      <c r="BP11" s="36">
        <v>34872</v>
      </c>
      <c r="BQ11" s="36">
        <v>32160</v>
      </c>
      <c r="BR11" s="36">
        <v>30469</v>
      </c>
      <c r="BS11" s="61">
        <f t="shared" ref="BS11:BS18" si="14">SUM(BO11:BR11)</f>
        <v>129997</v>
      </c>
      <c r="BT11" s="36">
        <v>31838</v>
      </c>
      <c r="BU11" s="36">
        <v>31584</v>
      </c>
      <c r="BV11" s="36">
        <v>31710</v>
      </c>
      <c r="BW11" s="36">
        <v>31766</v>
      </c>
      <c r="BX11" s="61">
        <f t="shared" ref="BX11:BX18" si="15">SUM(BT11:BW11)</f>
        <v>126898</v>
      </c>
      <c r="BY11" s="36">
        <v>33339</v>
      </c>
      <c r="BZ11" s="36">
        <v>35191</v>
      </c>
      <c r="CA11" s="36">
        <v>34277</v>
      </c>
      <c r="CB11" s="36">
        <v>36766</v>
      </c>
      <c r="CC11" s="61">
        <f t="shared" ref="CC11:CC18" si="16">SUM(BY11:CB11)</f>
        <v>139573</v>
      </c>
      <c r="CD11" s="36">
        <v>33450</v>
      </c>
      <c r="CE11" s="36">
        <v>30608</v>
      </c>
      <c r="CF11" s="36">
        <v>25436</v>
      </c>
      <c r="CG11" s="36">
        <v>26620</v>
      </c>
      <c r="CH11" s="61">
        <f t="shared" ref="CH11:CH18" si="17">SUM(CD11:CG11)</f>
        <v>116114</v>
      </c>
      <c r="CI11" s="36">
        <v>22770</v>
      </c>
      <c r="CJ11" s="36">
        <v>23512</v>
      </c>
      <c r="CK11" s="36">
        <v>24708</v>
      </c>
      <c r="CL11" s="36">
        <v>27714</v>
      </c>
      <c r="CM11" s="61">
        <f t="shared" ref="CM11:CM18" si="18">SUM(CI11:CL11)</f>
        <v>98704</v>
      </c>
      <c r="CN11" s="36">
        <v>29381</v>
      </c>
      <c r="CO11" s="36">
        <v>27487</v>
      </c>
      <c r="CP11" s="36"/>
      <c r="CQ11" s="36"/>
      <c r="CR11" s="61">
        <f t="shared" ref="CR11:CR18" si="19">SUM(CN11:CQ11)</f>
        <v>56868</v>
      </c>
    </row>
    <row r="12" spans="1:96" ht="11.15" customHeight="1" x14ac:dyDescent="0.2">
      <c r="A12" s="7" t="s">
        <v>2</v>
      </c>
      <c r="B12" s="36">
        <v>2659</v>
      </c>
      <c r="C12" s="36">
        <v>3154</v>
      </c>
      <c r="D12" s="36">
        <v>3539</v>
      </c>
      <c r="E12" s="36">
        <v>5170</v>
      </c>
      <c r="F12" s="61">
        <f t="shared" si="1"/>
        <v>14522</v>
      </c>
      <c r="G12" s="36">
        <v>4241</v>
      </c>
      <c r="H12" s="36">
        <v>4989</v>
      </c>
      <c r="I12" s="36">
        <v>4049</v>
      </c>
      <c r="J12" s="36">
        <v>5749</v>
      </c>
      <c r="K12" s="61">
        <f t="shared" si="2"/>
        <v>19028</v>
      </c>
      <c r="L12" s="36">
        <v>6412</v>
      </c>
      <c r="M12" s="36">
        <v>5765</v>
      </c>
      <c r="N12" s="36">
        <v>6062</v>
      </c>
      <c r="O12" s="36">
        <v>4959</v>
      </c>
      <c r="P12" s="61">
        <f t="shared" si="3"/>
        <v>23198</v>
      </c>
      <c r="Q12" s="36">
        <v>4990</v>
      </c>
      <c r="R12" s="36">
        <v>4944</v>
      </c>
      <c r="S12" s="36">
        <v>4758</v>
      </c>
      <c r="T12" s="36">
        <v>5797</v>
      </c>
      <c r="U12" s="61">
        <f t="shared" si="4"/>
        <v>20489</v>
      </c>
      <c r="V12" s="36">
        <v>6828</v>
      </c>
      <c r="W12" s="36">
        <v>7384</v>
      </c>
      <c r="X12" s="36">
        <v>7800</v>
      </c>
      <c r="Y12" s="36">
        <v>6633</v>
      </c>
      <c r="Z12" s="61">
        <f t="shared" si="5"/>
        <v>28645</v>
      </c>
      <c r="AA12" s="36">
        <v>8169</v>
      </c>
      <c r="AB12" s="36">
        <v>8333</v>
      </c>
      <c r="AC12" s="36">
        <v>10997</v>
      </c>
      <c r="AD12" s="36">
        <v>9943</v>
      </c>
      <c r="AE12" s="61">
        <f t="shared" si="6"/>
        <v>37442</v>
      </c>
      <c r="AF12" s="36">
        <v>9949</v>
      </c>
      <c r="AG12" s="36">
        <v>8736</v>
      </c>
      <c r="AH12" s="36">
        <v>10609</v>
      </c>
      <c r="AI12" s="36">
        <v>9937</v>
      </c>
      <c r="AJ12" s="61">
        <f t="shared" si="7"/>
        <v>39231</v>
      </c>
      <c r="AK12" s="36">
        <v>11810</v>
      </c>
      <c r="AL12" s="36">
        <v>12829</v>
      </c>
      <c r="AM12" s="36">
        <v>13175</v>
      </c>
      <c r="AN12" s="36">
        <v>13049</v>
      </c>
      <c r="AO12" s="61">
        <f t="shared" si="8"/>
        <v>50863</v>
      </c>
      <c r="AP12" s="36">
        <v>12916</v>
      </c>
      <c r="AQ12" s="36">
        <v>13124</v>
      </c>
      <c r="AR12" s="36">
        <v>14172</v>
      </c>
      <c r="AS12" s="36">
        <v>15126</v>
      </c>
      <c r="AT12" s="61">
        <f t="shared" si="9"/>
        <v>55338</v>
      </c>
      <c r="AU12" s="36">
        <v>12778</v>
      </c>
      <c r="AV12" s="36">
        <v>15017</v>
      </c>
      <c r="AW12" s="36">
        <v>14679</v>
      </c>
      <c r="AX12" s="36">
        <v>14718</v>
      </c>
      <c r="AY12" s="61">
        <f t="shared" si="10"/>
        <v>57192</v>
      </c>
      <c r="AZ12" s="36">
        <v>13901</v>
      </c>
      <c r="BA12" s="36">
        <v>16151</v>
      </c>
      <c r="BB12" s="36">
        <v>16797</v>
      </c>
      <c r="BC12" s="36">
        <v>19637</v>
      </c>
      <c r="BD12" s="61">
        <f t="shared" si="11"/>
        <v>66486</v>
      </c>
      <c r="BE12" s="36">
        <v>17726</v>
      </c>
      <c r="BF12" s="36">
        <v>19875</v>
      </c>
      <c r="BG12" s="36">
        <v>21491</v>
      </c>
      <c r="BH12" s="36">
        <v>21576</v>
      </c>
      <c r="BI12" s="61">
        <f t="shared" si="12"/>
        <v>80668</v>
      </c>
      <c r="BJ12" s="36">
        <v>25495</v>
      </c>
      <c r="BK12" s="36">
        <v>24117</v>
      </c>
      <c r="BL12" s="36">
        <v>25245</v>
      </c>
      <c r="BM12" s="36">
        <v>27572</v>
      </c>
      <c r="BN12" s="61">
        <f t="shared" si="13"/>
        <v>102429</v>
      </c>
      <c r="BO12" s="36">
        <v>27212</v>
      </c>
      <c r="BP12" s="36">
        <v>28538</v>
      </c>
      <c r="BQ12" s="36">
        <v>26776</v>
      </c>
      <c r="BR12" s="36">
        <v>25071</v>
      </c>
      <c r="BS12" s="61">
        <f t="shared" si="14"/>
        <v>107597</v>
      </c>
      <c r="BT12" s="36">
        <v>27124</v>
      </c>
      <c r="BU12" s="36">
        <v>26399</v>
      </c>
      <c r="BV12" s="36">
        <v>29038</v>
      </c>
      <c r="BW12" s="36">
        <v>27444</v>
      </c>
      <c r="BX12" s="61">
        <f t="shared" si="15"/>
        <v>110005</v>
      </c>
      <c r="BY12" s="36">
        <v>30092</v>
      </c>
      <c r="BZ12" s="36">
        <v>31066</v>
      </c>
      <c r="CA12" s="36">
        <v>32557</v>
      </c>
      <c r="CB12" s="36">
        <v>32167</v>
      </c>
      <c r="CC12" s="61">
        <f t="shared" si="16"/>
        <v>125882</v>
      </c>
      <c r="CD12" s="36">
        <v>30664</v>
      </c>
      <c r="CE12" s="36">
        <v>33411</v>
      </c>
      <c r="CF12" s="36">
        <v>33813</v>
      </c>
      <c r="CG12" s="36">
        <v>33365</v>
      </c>
      <c r="CH12" s="61">
        <f t="shared" si="17"/>
        <v>131253</v>
      </c>
      <c r="CI12" s="36">
        <v>30128</v>
      </c>
      <c r="CJ12" s="36">
        <v>29660</v>
      </c>
      <c r="CK12" s="36">
        <v>30958</v>
      </c>
      <c r="CL12" s="36">
        <v>35003</v>
      </c>
      <c r="CM12" s="61">
        <f t="shared" si="18"/>
        <v>125749</v>
      </c>
      <c r="CN12" s="36">
        <v>31158</v>
      </c>
      <c r="CO12" s="36">
        <v>31602</v>
      </c>
      <c r="CP12" s="36"/>
      <c r="CQ12" s="36"/>
      <c r="CR12" s="61">
        <f t="shared" si="19"/>
        <v>62760</v>
      </c>
    </row>
    <row r="13" spans="1:96" ht="11.15" customHeight="1" x14ac:dyDescent="0.2">
      <c r="A13" s="7" t="s">
        <v>212</v>
      </c>
      <c r="B13" s="36"/>
      <c r="C13" s="36"/>
      <c r="D13" s="36"/>
      <c r="E13" s="36"/>
      <c r="F13" s="61"/>
      <c r="G13" s="36"/>
      <c r="H13" s="36"/>
      <c r="I13" s="36"/>
      <c r="J13" s="36"/>
      <c r="K13" s="61"/>
      <c r="L13" s="36"/>
      <c r="M13" s="36"/>
      <c r="N13" s="36"/>
      <c r="O13" s="36"/>
      <c r="P13" s="61"/>
      <c r="Q13" s="36"/>
      <c r="R13" s="36"/>
      <c r="S13" s="36"/>
      <c r="T13" s="36"/>
      <c r="U13" s="61"/>
      <c r="V13" s="36"/>
      <c r="W13" s="36"/>
      <c r="X13" s="36"/>
      <c r="Y13" s="36"/>
      <c r="Z13" s="61"/>
      <c r="AA13" s="36"/>
      <c r="AB13" s="36"/>
      <c r="AC13" s="36"/>
      <c r="AD13" s="36"/>
      <c r="AE13" s="61"/>
      <c r="AF13" s="36"/>
      <c r="AG13" s="36"/>
      <c r="AH13" s="36"/>
      <c r="AI13" s="36"/>
      <c r="AJ13" s="61"/>
      <c r="AK13" s="36"/>
      <c r="AL13" s="36"/>
      <c r="AM13" s="36"/>
      <c r="AN13" s="36"/>
      <c r="AO13" s="61"/>
      <c r="AP13" s="36"/>
      <c r="AQ13" s="36"/>
      <c r="AR13" s="36"/>
      <c r="AS13" s="36"/>
      <c r="AT13" s="61"/>
      <c r="AU13" s="36"/>
      <c r="AV13" s="36"/>
      <c r="AW13" s="36"/>
      <c r="AX13" s="36"/>
      <c r="AY13" s="61"/>
      <c r="AZ13" s="36"/>
      <c r="BA13" s="36"/>
      <c r="BB13" s="36"/>
      <c r="BC13" s="36"/>
      <c r="BD13" s="61"/>
      <c r="BE13" s="36"/>
      <c r="BF13" s="36"/>
      <c r="BG13" s="36"/>
      <c r="BH13" s="36"/>
      <c r="BI13" s="61"/>
      <c r="BJ13" s="36"/>
      <c r="BK13" s="36"/>
      <c r="BL13" s="36"/>
      <c r="BM13" s="36"/>
      <c r="BN13" s="61"/>
      <c r="BO13" s="36">
        <v>0</v>
      </c>
      <c r="BP13" s="36">
        <v>0</v>
      </c>
      <c r="BQ13" s="36">
        <v>0</v>
      </c>
      <c r="BR13" s="36">
        <v>37120</v>
      </c>
      <c r="BS13" s="61">
        <f t="shared" si="14"/>
        <v>37120</v>
      </c>
      <c r="BT13" s="36">
        <v>0</v>
      </c>
      <c r="BU13" s="36">
        <v>0</v>
      </c>
      <c r="BV13" s="36">
        <v>44589</v>
      </c>
      <c r="BW13" s="36">
        <v>0</v>
      </c>
      <c r="BX13" s="61">
        <f t="shared" si="15"/>
        <v>44589</v>
      </c>
      <c r="BY13" s="36">
        <v>0</v>
      </c>
      <c r="BZ13" s="36">
        <v>0</v>
      </c>
      <c r="CA13" s="36">
        <v>0</v>
      </c>
      <c r="CB13" s="36">
        <v>0</v>
      </c>
      <c r="CC13" s="61">
        <f t="shared" si="16"/>
        <v>0</v>
      </c>
      <c r="CD13" s="36">
        <v>0</v>
      </c>
      <c r="CE13" s="36">
        <v>0</v>
      </c>
      <c r="CF13" s="36">
        <v>0</v>
      </c>
      <c r="CG13" s="36">
        <v>0</v>
      </c>
      <c r="CH13" s="61">
        <f t="shared" si="17"/>
        <v>0</v>
      </c>
      <c r="CI13" s="36">
        <v>0</v>
      </c>
      <c r="CJ13" s="36">
        <v>0</v>
      </c>
      <c r="CK13" s="36">
        <v>0</v>
      </c>
      <c r="CL13" s="36">
        <v>0</v>
      </c>
      <c r="CM13" s="61">
        <f t="shared" si="18"/>
        <v>0</v>
      </c>
      <c r="CN13" s="36">
        <v>0</v>
      </c>
      <c r="CO13" s="36">
        <v>0</v>
      </c>
      <c r="CP13" s="36"/>
      <c r="CQ13" s="36"/>
      <c r="CR13" s="61">
        <f t="shared" si="19"/>
        <v>0</v>
      </c>
    </row>
    <row r="14" spans="1:96" ht="11.15" customHeight="1" x14ac:dyDescent="0.2">
      <c r="A14" s="7" t="s">
        <v>255</v>
      </c>
      <c r="B14" s="36"/>
      <c r="C14" s="36"/>
      <c r="D14" s="36"/>
      <c r="E14" s="36"/>
      <c r="F14" s="61"/>
      <c r="G14" s="36"/>
      <c r="H14" s="36"/>
      <c r="I14" s="36"/>
      <c r="J14" s="36"/>
      <c r="K14" s="61"/>
      <c r="L14" s="36"/>
      <c r="M14" s="36"/>
      <c r="N14" s="36"/>
      <c r="O14" s="36"/>
      <c r="P14" s="61"/>
      <c r="Q14" s="36"/>
      <c r="R14" s="36"/>
      <c r="S14" s="36"/>
      <c r="T14" s="36"/>
      <c r="U14" s="61"/>
      <c r="V14" s="36"/>
      <c r="W14" s="36"/>
      <c r="X14" s="36"/>
      <c r="Y14" s="36"/>
      <c r="Z14" s="61"/>
      <c r="AA14" s="36"/>
      <c r="AB14" s="36"/>
      <c r="AC14" s="36"/>
      <c r="AD14" s="36"/>
      <c r="AE14" s="61"/>
      <c r="AF14" s="36"/>
      <c r="AG14" s="36"/>
      <c r="AH14" s="36"/>
      <c r="AI14" s="36"/>
      <c r="AJ14" s="61"/>
      <c r="AK14" s="36"/>
      <c r="AL14" s="36"/>
      <c r="AM14" s="36"/>
      <c r="AN14" s="36"/>
      <c r="AO14" s="61"/>
      <c r="AP14" s="36"/>
      <c r="AQ14" s="36"/>
      <c r="AR14" s="36"/>
      <c r="AS14" s="36"/>
      <c r="AT14" s="61"/>
      <c r="AU14" s="36"/>
      <c r="AV14" s="36"/>
      <c r="AW14" s="36"/>
      <c r="AX14" s="36"/>
      <c r="AY14" s="61"/>
      <c r="AZ14" s="36"/>
      <c r="BA14" s="36"/>
      <c r="BB14" s="36"/>
      <c r="BC14" s="36"/>
      <c r="BD14" s="61"/>
      <c r="BE14" s="36"/>
      <c r="BF14" s="36"/>
      <c r="BG14" s="36"/>
      <c r="BH14" s="36"/>
      <c r="BI14" s="61"/>
      <c r="BJ14" s="36"/>
      <c r="BK14" s="36"/>
      <c r="BL14" s="36"/>
      <c r="BM14" s="36"/>
      <c r="BN14" s="61"/>
      <c r="BO14" s="36"/>
      <c r="BP14" s="36"/>
      <c r="BQ14" s="36"/>
      <c r="BR14" s="36"/>
      <c r="BS14" s="61"/>
      <c r="BT14" s="36"/>
      <c r="BU14" s="36"/>
      <c r="BV14" s="36"/>
      <c r="BW14" s="36"/>
      <c r="BX14" s="61"/>
      <c r="BY14" s="36">
        <v>0</v>
      </c>
      <c r="BZ14" s="36">
        <v>0</v>
      </c>
      <c r="CA14" s="36">
        <v>0</v>
      </c>
      <c r="CB14" s="36">
        <v>0</v>
      </c>
      <c r="CC14" s="61">
        <f t="shared" si="16"/>
        <v>0</v>
      </c>
      <c r="CD14" s="36">
        <v>0</v>
      </c>
      <c r="CE14" s="36">
        <v>0</v>
      </c>
      <c r="CF14" s="36">
        <v>-21748</v>
      </c>
      <c r="CG14" s="36">
        <v>-10098</v>
      </c>
      <c r="CH14" s="61">
        <f t="shared" si="17"/>
        <v>-31846</v>
      </c>
      <c r="CI14" s="36">
        <v>0</v>
      </c>
      <c r="CJ14" s="36">
        <v>0</v>
      </c>
      <c r="CK14" s="36">
        <v>0</v>
      </c>
      <c r="CL14" s="36">
        <v>0</v>
      </c>
      <c r="CM14" s="61">
        <f t="shared" si="18"/>
        <v>0</v>
      </c>
      <c r="CN14" s="36">
        <v>-6776</v>
      </c>
      <c r="CO14" s="36">
        <v>-674</v>
      </c>
      <c r="CP14" s="36"/>
      <c r="CQ14" s="36"/>
      <c r="CR14" s="61">
        <f t="shared" si="19"/>
        <v>-7450</v>
      </c>
    </row>
    <row r="15" spans="1:96" ht="11.15" customHeight="1" x14ac:dyDescent="0.2">
      <c r="A15" s="7" t="s">
        <v>229</v>
      </c>
      <c r="B15" s="36"/>
      <c r="C15" s="36"/>
      <c r="D15" s="36"/>
      <c r="E15" s="36"/>
      <c r="F15" s="61"/>
      <c r="G15" s="36"/>
      <c r="H15" s="36"/>
      <c r="I15" s="36"/>
      <c r="J15" s="36"/>
      <c r="K15" s="61"/>
      <c r="L15" s="36"/>
      <c r="M15" s="36"/>
      <c r="N15" s="36"/>
      <c r="O15" s="36"/>
      <c r="P15" s="61"/>
      <c r="Q15" s="36"/>
      <c r="R15" s="36"/>
      <c r="S15" s="36"/>
      <c r="T15" s="36"/>
      <c r="U15" s="61"/>
      <c r="V15" s="36"/>
      <c r="W15" s="36"/>
      <c r="X15" s="36"/>
      <c r="Y15" s="36"/>
      <c r="Z15" s="61"/>
      <c r="AA15" s="36"/>
      <c r="AB15" s="36"/>
      <c r="AC15" s="36"/>
      <c r="AD15" s="36"/>
      <c r="AE15" s="61"/>
      <c r="AF15" s="36"/>
      <c r="AG15" s="36"/>
      <c r="AH15" s="36"/>
      <c r="AI15" s="36"/>
      <c r="AJ15" s="61"/>
      <c r="AK15" s="36"/>
      <c r="AL15" s="36"/>
      <c r="AM15" s="36"/>
      <c r="AN15" s="36"/>
      <c r="AO15" s="61"/>
      <c r="AP15" s="36"/>
      <c r="AQ15" s="36"/>
      <c r="AR15" s="36"/>
      <c r="AS15" s="36"/>
      <c r="AT15" s="61"/>
      <c r="AU15" s="36"/>
      <c r="AV15" s="36"/>
      <c r="AW15" s="36"/>
      <c r="AX15" s="36"/>
      <c r="AY15" s="61"/>
      <c r="AZ15" s="36"/>
      <c r="BA15" s="36"/>
      <c r="BB15" s="36"/>
      <c r="BC15" s="36"/>
      <c r="BD15" s="61"/>
      <c r="BE15" s="36"/>
      <c r="BF15" s="36"/>
      <c r="BG15" s="36"/>
      <c r="BH15" s="36"/>
      <c r="BI15" s="61"/>
      <c r="BJ15" s="36"/>
      <c r="BK15" s="36"/>
      <c r="BL15" s="36"/>
      <c r="BM15" s="36"/>
      <c r="BN15" s="61"/>
      <c r="BO15" s="36">
        <v>0</v>
      </c>
      <c r="BP15" s="36">
        <v>0</v>
      </c>
      <c r="BQ15" s="36">
        <v>0</v>
      </c>
      <c r="BR15" s="36">
        <v>5349</v>
      </c>
      <c r="BS15" s="61">
        <f t="shared" si="14"/>
        <v>5349</v>
      </c>
      <c r="BT15" s="36">
        <v>0</v>
      </c>
      <c r="BU15" s="36">
        <v>671</v>
      </c>
      <c r="BV15" s="36">
        <v>0</v>
      </c>
      <c r="BW15" s="36">
        <v>0</v>
      </c>
      <c r="BX15" s="61">
        <f t="shared" si="15"/>
        <v>671</v>
      </c>
      <c r="BY15" s="36">
        <v>0</v>
      </c>
      <c r="BZ15" s="36">
        <v>0</v>
      </c>
      <c r="CA15" s="36">
        <v>0</v>
      </c>
      <c r="CB15" s="36">
        <v>0</v>
      </c>
      <c r="CC15" s="61">
        <f t="shared" si="16"/>
        <v>0</v>
      </c>
      <c r="CD15" s="36">
        <v>0</v>
      </c>
      <c r="CE15" s="36">
        <v>0</v>
      </c>
      <c r="CF15" s="36">
        <v>919</v>
      </c>
      <c r="CG15" s="36">
        <v>79030</v>
      </c>
      <c r="CH15" s="61">
        <f t="shared" si="17"/>
        <v>79949</v>
      </c>
      <c r="CI15" s="36">
        <v>0</v>
      </c>
      <c r="CJ15" s="36">
        <v>0</v>
      </c>
      <c r="CK15" s="36">
        <v>1237</v>
      </c>
      <c r="CL15" s="36">
        <v>0</v>
      </c>
      <c r="CM15" s="61">
        <f t="shared" si="18"/>
        <v>1237</v>
      </c>
      <c r="CN15" s="36">
        <v>0</v>
      </c>
      <c r="CO15" s="36">
        <v>0</v>
      </c>
      <c r="CP15" s="36"/>
      <c r="CQ15" s="36"/>
      <c r="CR15" s="61">
        <f t="shared" si="19"/>
        <v>0</v>
      </c>
    </row>
    <row r="16" spans="1:96" ht="11.15" customHeight="1" x14ac:dyDescent="0.2">
      <c r="A16" s="7" t="s">
        <v>251</v>
      </c>
      <c r="B16" s="36"/>
      <c r="C16" s="36"/>
      <c r="D16" s="36"/>
      <c r="E16" s="36"/>
      <c r="F16" s="61"/>
      <c r="G16" s="36"/>
      <c r="H16" s="36"/>
      <c r="I16" s="36"/>
      <c r="J16" s="36"/>
      <c r="K16" s="61"/>
      <c r="L16" s="36"/>
      <c r="M16" s="36"/>
      <c r="N16" s="36"/>
      <c r="O16" s="36"/>
      <c r="P16" s="61"/>
      <c r="Q16" s="36"/>
      <c r="R16" s="36"/>
      <c r="S16" s="36"/>
      <c r="T16" s="36"/>
      <c r="U16" s="61"/>
      <c r="V16" s="36"/>
      <c r="W16" s="36"/>
      <c r="X16" s="36"/>
      <c r="Y16" s="36"/>
      <c r="Z16" s="61"/>
      <c r="AA16" s="36"/>
      <c r="AB16" s="36"/>
      <c r="AC16" s="36"/>
      <c r="AD16" s="36"/>
      <c r="AE16" s="61"/>
      <c r="AF16" s="36"/>
      <c r="AG16" s="36"/>
      <c r="AH16" s="36"/>
      <c r="AI16" s="36"/>
      <c r="AJ16" s="61"/>
      <c r="AK16" s="36"/>
      <c r="AL16" s="36"/>
      <c r="AM16" s="36"/>
      <c r="AN16" s="36"/>
      <c r="AO16" s="61"/>
      <c r="AP16" s="36"/>
      <c r="AQ16" s="36"/>
      <c r="AR16" s="36"/>
      <c r="AS16" s="36"/>
      <c r="AT16" s="61"/>
      <c r="AU16" s="36"/>
      <c r="AV16" s="36"/>
      <c r="AW16" s="36"/>
      <c r="AX16" s="36"/>
      <c r="AY16" s="61"/>
      <c r="AZ16" s="36"/>
      <c r="BA16" s="36"/>
      <c r="BB16" s="36"/>
      <c r="BC16" s="36"/>
      <c r="BD16" s="61"/>
      <c r="BE16" s="36"/>
      <c r="BF16" s="36"/>
      <c r="BG16" s="36"/>
      <c r="BH16" s="36"/>
      <c r="BI16" s="61"/>
      <c r="BJ16" s="36"/>
      <c r="BK16" s="36"/>
      <c r="BL16" s="36"/>
      <c r="BM16" s="36"/>
      <c r="BN16" s="61"/>
      <c r="BO16" s="36">
        <v>0</v>
      </c>
      <c r="BP16" s="36">
        <v>0</v>
      </c>
      <c r="BQ16" s="36">
        <v>0</v>
      </c>
      <c r="BR16" s="36">
        <v>1781</v>
      </c>
      <c r="BS16" s="61">
        <f t="shared" si="14"/>
        <v>1781</v>
      </c>
      <c r="BT16" s="36">
        <v>0</v>
      </c>
      <c r="BU16" s="36">
        <v>494</v>
      </c>
      <c r="BV16" s="36">
        <v>12</v>
      </c>
      <c r="BW16" s="36">
        <v>0</v>
      </c>
      <c r="BX16" s="61">
        <f t="shared" si="15"/>
        <v>506</v>
      </c>
      <c r="BY16" s="36">
        <v>0</v>
      </c>
      <c r="BZ16" s="36">
        <v>0</v>
      </c>
      <c r="CA16" s="36">
        <v>0</v>
      </c>
      <c r="CB16" s="36">
        <v>0</v>
      </c>
      <c r="CC16" s="61">
        <f t="shared" ref="CC16" si="20">SUM(BY16:CB16)</f>
        <v>0</v>
      </c>
      <c r="CD16" s="36">
        <v>0</v>
      </c>
      <c r="CE16" s="36">
        <v>0</v>
      </c>
      <c r="CF16" s="36">
        <v>0</v>
      </c>
      <c r="CG16" s="36">
        <v>9697</v>
      </c>
      <c r="CH16" s="61">
        <f t="shared" si="17"/>
        <v>9697</v>
      </c>
      <c r="CI16" s="36">
        <v>181</v>
      </c>
      <c r="CJ16" s="36">
        <v>963</v>
      </c>
      <c r="CK16" s="36">
        <v>-1501</v>
      </c>
      <c r="CL16" s="36">
        <v>69</v>
      </c>
      <c r="CM16" s="61">
        <f t="shared" si="18"/>
        <v>-288</v>
      </c>
      <c r="CN16" s="36">
        <v>0</v>
      </c>
      <c r="CO16" s="36">
        <v>0</v>
      </c>
      <c r="CP16" s="36"/>
      <c r="CQ16" s="36"/>
      <c r="CR16" s="61">
        <f t="shared" si="19"/>
        <v>0</v>
      </c>
    </row>
    <row r="17" spans="1:96" ht="11.15" customHeight="1" x14ac:dyDescent="0.2">
      <c r="A17" s="7" t="s">
        <v>46</v>
      </c>
      <c r="B17" s="36">
        <v>0</v>
      </c>
      <c r="C17" s="36">
        <v>0</v>
      </c>
      <c r="D17" s="36">
        <v>0</v>
      </c>
      <c r="E17" s="36">
        <v>0</v>
      </c>
      <c r="F17" s="61">
        <f t="shared" si="1"/>
        <v>0</v>
      </c>
      <c r="G17" s="36">
        <v>0</v>
      </c>
      <c r="H17" s="36">
        <v>0</v>
      </c>
      <c r="I17" s="36">
        <v>0</v>
      </c>
      <c r="J17" s="36">
        <v>0</v>
      </c>
      <c r="K17" s="61">
        <f t="shared" si="2"/>
        <v>0</v>
      </c>
      <c r="L17" s="36">
        <v>-573</v>
      </c>
      <c r="M17" s="36">
        <v>259</v>
      </c>
      <c r="N17" s="36">
        <v>-1594</v>
      </c>
      <c r="O17" s="36">
        <v>-890</v>
      </c>
      <c r="P17" s="61">
        <f t="shared" si="3"/>
        <v>-2798</v>
      </c>
      <c r="Q17" s="36">
        <v>1515</v>
      </c>
      <c r="R17" s="36">
        <v>-500</v>
      </c>
      <c r="S17" s="36">
        <v>-40</v>
      </c>
      <c r="T17" s="36">
        <v>47</v>
      </c>
      <c r="U17" s="61">
        <f t="shared" si="4"/>
        <v>1022</v>
      </c>
      <c r="V17" s="36">
        <v>-108</v>
      </c>
      <c r="W17" s="36">
        <v>-2295</v>
      </c>
      <c r="X17" s="36">
        <v>2078</v>
      </c>
      <c r="Y17" s="36">
        <v>-523</v>
      </c>
      <c r="Z17" s="61">
        <f t="shared" si="5"/>
        <v>-848</v>
      </c>
      <c r="AA17" s="36">
        <v>720</v>
      </c>
      <c r="AB17" s="36">
        <v>-206</v>
      </c>
      <c r="AC17" s="36">
        <v>-1927</v>
      </c>
      <c r="AD17" s="36">
        <v>-1449</v>
      </c>
      <c r="AE17" s="61">
        <f t="shared" si="6"/>
        <v>-2862</v>
      </c>
      <c r="AF17" s="36">
        <v>1286</v>
      </c>
      <c r="AG17" s="36">
        <v>-3354</v>
      </c>
      <c r="AH17" s="36">
        <v>1796</v>
      </c>
      <c r="AI17" s="36">
        <v>1634</v>
      </c>
      <c r="AJ17" s="61">
        <f t="shared" si="7"/>
        <v>1362</v>
      </c>
      <c r="AK17" s="36">
        <v>-481</v>
      </c>
      <c r="AL17" s="36">
        <v>-110</v>
      </c>
      <c r="AM17" s="36">
        <v>1563</v>
      </c>
      <c r="AN17" s="36">
        <v>1564</v>
      </c>
      <c r="AO17" s="61">
        <f t="shared" si="8"/>
        <v>2536</v>
      </c>
      <c r="AP17" s="36">
        <v>-1370</v>
      </c>
      <c r="AQ17" s="36">
        <v>945</v>
      </c>
      <c r="AR17" s="36">
        <v>-3614</v>
      </c>
      <c r="AS17" s="36">
        <v>-2579</v>
      </c>
      <c r="AT17" s="61">
        <f t="shared" si="9"/>
        <v>-6618</v>
      </c>
      <c r="AU17" s="36">
        <v>-8752</v>
      </c>
      <c r="AV17" s="36">
        <v>3167</v>
      </c>
      <c r="AW17" s="36">
        <v>5125</v>
      </c>
      <c r="AX17" s="36">
        <v>-2100</v>
      </c>
      <c r="AY17" s="61">
        <f t="shared" si="10"/>
        <v>-2560</v>
      </c>
      <c r="AZ17" s="36">
        <v>4967</v>
      </c>
      <c r="BA17" s="36">
        <v>-1556</v>
      </c>
      <c r="BB17" s="36">
        <v>2905</v>
      </c>
      <c r="BC17" s="36">
        <v>-1820</v>
      </c>
      <c r="BD17" s="61">
        <f t="shared" si="11"/>
        <v>4496</v>
      </c>
      <c r="BE17" s="36">
        <v>4453</v>
      </c>
      <c r="BF17" s="36">
        <v>7183</v>
      </c>
      <c r="BG17" s="36">
        <v>3917</v>
      </c>
      <c r="BH17" s="36">
        <v>-1093</v>
      </c>
      <c r="BI17" s="61">
        <f t="shared" ref="BI17" si="21">SUM(BE17:BH17)</f>
        <v>14460</v>
      </c>
      <c r="BJ17" s="36">
        <v>-5295</v>
      </c>
      <c r="BK17" s="36">
        <v>2118</v>
      </c>
      <c r="BL17" s="36">
        <v>1688</v>
      </c>
      <c r="BM17" s="36">
        <v>-4661</v>
      </c>
      <c r="BN17" s="61">
        <f t="shared" ref="BN17" si="22">SUM(BJ17:BM17)</f>
        <v>-6150</v>
      </c>
      <c r="BO17" s="36">
        <v>1613</v>
      </c>
      <c r="BP17" s="36">
        <v>5074</v>
      </c>
      <c r="BQ17" s="36">
        <v>808</v>
      </c>
      <c r="BR17" s="36">
        <v>5332</v>
      </c>
      <c r="BS17" s="61">
        <f t="shared" si="14"/>
        <v>12827</v>
      </c>
      <c r="BT17" s="36">
        <v>-19565</v>
      </c>
      <c r="BU17" s="36">
        <v>12766</v>
      </c>
      <c r="BV17" s="36">
        <v>-11302</v>
      </c>
      <c r="BW17" s="36">
        <v>5186</v>
      </c>
      <c r="BX17" s="61">
        <f t="shared" si="15"/>
        <v>-12915</v>
      </c>
      <c r="BY17" s="36">
        <v>-7165</v>
      </c>
      <c r="BZ17" s="36">
        <v>2826</v>
      </c>
      <c r="CA17" s="36">
        <v>-3634</v>
      </c>
      <c r="CB17" s="36">
        <v>-7147</v>
      </c>
      <c r="CC17" s="61">
        <f t="shared" si="16"/>
        <v>-15120</v>
      </c>
      <c r="CD17" s="36">
        <v>-5810</v>
      </c>
      <c r="CE17" s="36">
        <v>17640</v>
      </c>
      <c r="CF17" s="36">
        <v>-541</v>
      </c>
      <c r="CG17" s="36">
        <v>-7186</v>
      </c>
      <c r="CH17" s="61">
        <f t="shared" si="17"/>
        <v>4103</v>
      </c>
      <c r="CI17" s="36">
        <v>-2655</v>
      </c>
      <c r="CJ17" s="36">
        <v>1306</v>
      </c>
      <c r="CK17" s="36">
        <v>-449</v>
      </c>
      <c r="CL17" s="36">
        <v>442</v>
      </c>
      <c r="CM17" s="61">
        <f t="shared" si="18"/>
        <v>-1356</v>
      </c>
      <c r="CN17" s="36">
        <v>1675</v>
      </c>
      <c r="CO17" s="36">
        <v>3244</v>
      </c>
      <c r="CP17" s="36"/>
      <c r="CQ17" s="36"/>
      <c r="CR17" s="61">
        <f t="shared" si="19"/>
        <v>4919</v>
      </c>
    </row>
    <row r="18" spans="1:96" ht="11.15" customHeight="1" x14ac:dyDescent="0.2">
      <c r="A18" s="21" t="s">
        <v>13</v>
      </c>
      <c r="B18" s="12">
        <f>SUM(B10:B17)</f>
        <v>4974</v>
      </c>
      <c r="C18" s="12">
        <f>SUM(C10:C17)</f>
        <v>5804</v>
      </c>
      <c r="D18" s="12">
        <f>SUM(D10:D17)</f>
        <v>6999</v>
      </c>
      <c r="E18" s="12">
        <f>SUM(E10:E17)</f>
        <v>9511</v>
      </c>
      <c r="F18" s="60">
        <f t="shared" si="1"/>
        <v>27288</v>
      </c>
      <c r="G18" s="12">
        <f>SUM(G10:G17)</f>
        <v>8279</v>
      </c>
      <c r="H18" s="12">
        <f>SUM(H10:H17)</f>
        <v>10213</v>
      </c>
      <c r="I18" s="12">
        <f>SUM(I10:I17)</f>
        <v>8891</v>
      </c>
      <c r="J18" s="12">
        <f>SUM(J10:J17)</f>
        <v>11275</v>
      </c>
      <c r="K18" s="60">
        <f t="shared" si="2"/>
        <v>38658</v>
      </c>
      <c r="L18" s="12">
        <f>SUM(L10:L17)</f>
        <v>11860</v>
      </c>
      <c r="M18" s="12">
        <f>SUM(M10:M17)</f>
        <v>14174</v>
      </c>
      <c r="N18" s="12">
        <f>SUM(N10:N17)</f>
        <v>12333</v>
      </c>
      <c r="O18" s="12">
        <f>SUM(O10:O17)</f>
        <v>11737</v>
      </c>
      <c r="P18" s="60">
        <f t="shared" si="3"/>
        <v>50104</v>
      </c>
      <c r="Q18" s="12">
        <f>SUM(Q10:Q17)</f>
        <v>13836</v>
      </c>
      <c r="R18" s="12">
        <f>SUM(R10:R17)</f>
        <v>13058</v>
      </c>
      <c r="S18" s="12">
        <f>SUM(S10:S17)</f>
        <v>13075</v>
      </c>
      <c r="T18" s="12">
        <f>SUM(T10:T17)</f>
        <v>15242</v>
      </c>
      <c r="U18" s="60">
        <f t="shared" si="4"/>
        <v>55211</v>
      </c>
      <c r="V18" s="12">
        <f>SUM(V10:V17)</f>
        <v>15216</v>
      </c>
      <c r="W18" s="12">
        <f>SUM(W10:W17)</f>
        <v>14750</v>
      </c>
      <c r="X18" s="12">
        <f>SUM(X10:X17)</f>
        <v>19386</v>
      </c>
      <c r="Y18" s="12">
        <f>SUM(Y10:Y17)</f>
        <v>16705</v>
      </c>
      <c r="Z18" s="60">
        <f t="shared" si="5"/>
        <v>66057</v>
      </c>
      <c r="AA18" s="12">
        <f>SUM(AA10:AA17)</f>
        <v>19568</v>
      </c>
      <c r="AB18" s="12">
        <f>SUM(AB10:AB17)</f>
        <v>20584</v>
      </c>
      <c r="AC18" s="12">
        <f>SUM(AC10:AC17)</f>
        <v>21227</v>
      </c>
      <c r="AD18" s="12">
        <f>SUM(AD10:AD17)</f>
        <v>20354</v>
      </c>
      <c r="AE18" s="60">
        <f t="shared" si="6"/>
        <v>81733</v>
      </c>
      <c r="AF18" s="12">
        <f>SUM(AF10:AF17)</f>
        <v>23507</v>
      </c>
      <c r="AG18" s="12">
        <f>SUM(AG10:AG17)</f>
        <v>18465</v>
      </c>
      <c r="AH18" s="12">
        <f>SUM(AH10:AH17)</f>
        <v>25952</v>
      </c>
      <c r="AI18" s="12">
        <f>SUM(AI10:AI17)</f>
        <v>27915</v>
      </c>
      <c r="AJ18" s="60">
        <f t="shared" si="7"/>
        <v>95839</v>
      </c>
      <c r="AK18" s="12">
        <f>SUM(AK10:AK17)</f>
        <v>25995</v>
      </c>
      <c r="AL18" s="12">
        <f>SUM(AL10:AL17)</f>
        <v>30047</v>
      </c>
      <c r="AM18" s="12">
        <f>SUM(AM10:AM17)</f>
        <v>33040</v>
      </c>
      <c r="AN18" s="12">
        <f>SUM(AN10:AN17)</f>
        <v>32669</v>
      </c>
      <c r="AO18" s="60">
        <f t="shared" si="8"/>
        <v>121751</v>
      </c>
      <c r="AP18" s="12">
        <f>SUM(AP10:AP17)</f>
        <v>31495</v>
      </c>
      <c r="AQ18" s="12">
        <f>SUM(AQ10:AQ17)</f>
        <v>35478</v>
      </c>
      <c r="AR18" s="12">
        <f>SUM(AR10:AR17)</f>
        <v>31501</v>
      </c>
      <c r="AS18" s="12">
        <f>SUM(AS10:AS17)</f>
        <v>34286</v>
      </c>
      <c r="AT18" s="60">
        <f t="shared" si="9"/>
        <v>132760</v>
      </c>
      <c r="AU18" s="12">
        <f>SUM(AU10:AU17)</f>
        <v>25805</v>
      </c>
      <c r="AV18" s="12">
        <f>SUM(AV10:AV17)</f>
        <v>41260</v>
      </c>
      <c r="AW18" s="12">
        <f>SUM(AW10:AW17)</f>
        <v>43742</v>
      </c>
      <c r="AX18" s="12">
        <f>SUM(AX10:AX17)</f>
        <v>39027</v>
      </c>
      <c r="AY18" s="60">
        <f t="shared" si="10"/>
        <v>149834</v>
      </c>
      <c r="AZ18" s="12">
        <f>SUM(AZ10:AZ17)</f>
        <v>44391</v>
      </c>
      <c r="BA18" s="12">
        <f>SUM(BA10:BA17)</f>
        <v>42696</v>
      </c>
      <c r="BB18" s="12">
        <f>SUM(BB10:BB17)</f>
        <v>50705</v>
      </c>
      <c r="BC18" s="12">
        <f>SUM(BC10:BC17)</f>
        <v>50135</v>
      </c>
      <c r="BD18" s="60">
        <f t="shared" si="11"/>
        <v>187927</v>
      </c>
      <c r="BE18" s="12">
        <f>SUM(BE10:BE17)</f>
        <v>55786</v>
      </c>
      <c r="BF18" s="12">
        <f>SUM(BF10:BF17)</f>
        <v>65154</v>
      </c>
      <c r="BG18" s="12">
        <f>SUM(BG10:BG17)</f>
        <v>64333</v>
      </c>
      <c r="BH18" s="12">
        <f>SUM(BH10:BH17)</f>
        <v>60526</v>
      </c>
      <c r="BI18" s="60">
        <f t="shared" si="12"/>
        <v>245799</v>
      </c>
      <c r="BJ18" s="12">
        <f>SUM(BJ10:BJ17)</f>
        <v>62262</v>
      </c>
      <c r="BK18" s="12">
        <f>SUM(BK10:BK17)</f>
        <v>72584</v>
      </c>
      <c r="BL18" s="12">
        <f>SUM(BL10:BL17)</f>
        <v>71321</v>
      </c>
      <c r="BM18" s="12">
        <f>SUM(BM10:BM17)</f>
        <v>70696</v>
      </c>
      <c r="BN18" s="60">
        <f t="shared" si="13"/>
        <v>276863</v>
      </c>
      <c r="BO18" s="12">
        <f>SUM(BO10:BO17)</f>
        <v>80596</v>
      </c>
      <c r="BP18" s="12">
        <f>SUM(BP10:BP17)</f>
        <v>89147</v>
      </c>
      <c r="BQ18" s="12">
        <f>SUM(BQ10:BQ17)</f>
        <v>78713</v>
      </c>
      <c r="BR18" s="12">
        <f>SUM(BR10:BR17)</f>
        <v>123960</v>
      </c>
      <c r="BS18" s="60">
        <f t="shared" si="14"/>
        <v>372416</v>
      </c>
      <c r="BT18" s="12">
        <f>SUM(BT10:BT17)</f>
        <v>58080</v>
      </c>
      <c r="BU18" s="12">
        <f>SUM(BU10:BU17)</f>
        <v>89240</v>
      </c>
      <c r="BV18" s="12">
        <f>SUM(BV10:BV17)</f>
        <v>111379</v>
      </c>
      <c r="BW18" s="12">
        <f>SUM(BW10:BW17)</f>
        <v>81638</v>
      </c>
      <c r="BX18" s="60">
        <f t="shared" si="15"/>
        <v>340337</v>
      </c>
      <c r="BY18" s="12">
        <f>SUM(BY10:BY17)</f>
        <v>75149</v>
      </c>
      <c r="BZ18" s="12">
        <f>SUM(BZ10:BZ17)</f>
        <v>88276</v>
      </c>
      <c r="CA18" s="12">
        <f>SUM(CA10:CA17)</f>
        <v>83888</v>
      </c>
      <c r="CB18" s="12">
        <f>SUM(CB10:CB17)</f>
        <v>81202</v>
      </c>
      <c r="CC18" s="60">
        <f t="shared" si="16"/>
        <v>328515</v>
      </c>
      <c r="CD18" s="12">
        <f>SUM(CD10:CD17)</f>
        <v>78678</v>
      </c>
      <c r="CE18" s="12">
        <f>SUM(CE10:CE17)</f>
        <v>100669</v>
      </c>
      <c r="CF18" s="12">
        <f>SUM(CF10:CF17)</f>
        <v>57262</v>
      </c>
      <c r="CG18" s="12">
        <f>SUM(CG10:CG17)</f>
        <v>149304</v>
      </c>
      <c r="CH18" s="60">
        <f t="shared" si="17"/>
        <v>385913</v>
      </c>
      <c r="CI18" s="12">
        <f>SUM(CI10:CI17)</f>
        <v>71512</v>
      </c>
      <c r="CJ18" s="12">
        <f t="shared" ref="CJ18:CL18" si="23">SUM(CJ10:CJ17)</f>
        <v>75628</v>
      </c>
      <c r="CK18" s="12">
        <f t="shared" si="23"/>
        <v>77196</v>
      </c>
      <c r="CL18" s="12">
        <f t="shared" si="23"/>
        <v>85389</v>
      </c>
      <c r="CM18" s="60">
        <f t="shared" si="18"/>
        <v>309725</v>
      </c>
      <c r="CN18" s="12">
        <f>SUM(CN10:CN17)</f>
        <v>78436</v>
      </c>
      <c r="CO18" s="12">
        <f>SUM(CO10:CO17)</f>
        <v>84146</v>
      </c>
      <c r="CP18" s="12"/>
      <c r="CQ18" s="12"/>
      <c r="CR18" s="60">
        <f t="shared" si="19"/>
        <v>162582</v>
      </c>
    </row>
    <row r="19" spans="1:96" ht="11.15" customHeight="1" x14ac:dyDescent="0.2">
      <c r="A19" s="21"/>
      <c r="B19" s="11"/>
      <c r="C19" s="11"/>
      <c r="D19" s="11"/>
      <c r="E19" s="11"/>
      <c r="F19" s="61"/>
      <c r="G19" s="11"/>
      <c r="H19" s="11"/>
      <c r="I19" s="11"/>
      <c r="J19" s="11"/>
      <c r="K19" s="61"/>
      <c r="L19" s="11"/>
      <c r="M19" s="11"/>
      <c r="N19" s="11"/>
      <c r="O19" s="11"/>
      <c r="P19" s="61"/>
      <c r="Q19" s="11"/>
      <c r="R19" s="11"/>
      <c r="S19" s="11"/>
      <c r="T19" s="11"/>
      <c r="U19" s="61"/>
      <c r="V19" s="11"/>
      <c r="W19" s="11"/>
      <c r="X19" s="11"/>
      <c r="Y19" s="11"/>
      <c r="Z19" s="61"/>
      <c r="AA19" s="11"/>
      <c r="AB19" s="11"/>
      <c r="AC19" s="11"/>
      <c r="AD19" s="11"/>
      <c r="AE19" s="61"/>
      <c r="AF19" s="11"/>
      <c r="AG19" s="11"/>
      <c r="AH19" s="11"/>
      <c r="AI19" s="11"/>
      <c r="AJ19" s="61"/>
      <c r="AK19" s="11"/>
      <c r="AL19" s="11"/>
      <c r="AM19" s="11"/>
      <c r="AN19" s="11"/>
      <c r="AO19" s="61"/>
      <c r="AP19" s="11"/>
      <c r="AQ19" s="11"/>
      <c r="AR19" s="11"/>
      <c r="AS19" s="11"/>
      <c r="AT19" s="61"/>
      <c r="AU19" s="11"/>
      <c r="AV19" s="11"/>
      <c r="AW19" s="11"/>
      <c r="AX19" s="11"/>
      <c r="AY19" s="61"/>
      <c r="AZ19" s="11"/>
      <c r="BA19" s="11"/>
      <c r="BB19" s="11"/>
      <c r="BC19" s="11"/>
      <c r="BD19" s="61"/>
      <c r="BE19" s="11"/>
      <c r="BF19" s="11"/>
      <c r="BG19" s="11"/>
      <c r="BH19" s="11"/>
      <c r="BI19" s="61"/>
      <c r="BJ19" s="11"/>
      <c r="BK19" s="11"/>
      <c r="BL19" s="11"/>
      <c r="BM19" s="11"/>
      <c r="BN19" s="61"/>
      <c r="BO19" s="11"/>
      <c r="BP19" s="11"/>
      <c r="BQ19" s="11"/>
      <c r="BR19" s="11"/>
      <c r="BS19" s="61"/>
      <c r="BT19" s="11"/>
      <c r="BU19" s="11"/>
      <c r="BV19" s="11"/>
      <c r="BW19" s="11"/>
      <c r="BX19" s="61"/>
      <c r="BY19" s="11"/>
      <c r="BZ19" s="11"/>
      <c r="CA19" s="11"/>
      <c r="CB19" s="11"/>
      <c r="CC19" s="61"/>
      <c r="CD19" s="11"/>
      <c r="CE19" s="11"/>
      <c r="CF19" s="11"/>
      <c r="CG19" s="11"/>
      <c r="CH19" s="61"/>
      <c r="CI19" s="11"/>
      <c r="CJ19" s="11"/>
      <c r="CK19" s="11"/>
      <c r="CL19" s="11"/>
      <c r="CM19" s="61"/>
      <c r="CN19" s="11"/>
      <c r="CO19" s="11"/>
      <c r="CP19" s="11"/>
      <c r="CQ19" s="11"/>
      <c r="CR19" s="61"/>
    </row>
    <row r="20" spans="1:96" ht="11.15" customHeight="1" x14ac:dyDescent="0.2">
      <c r="A20" s="6" t="s">
        <v>166</v>
      </c>
      <c r="B20" s="9">
        <f>+B7-B18</f>
        <v>7491</v>
      </c>
      <c r="C20" s="9">
        <f>+C7-C18</f>
        <v>7539</v>
      </c>
      <c r="D20" s="9">
        <f>+D7-D18</f>
        <v>10338</v>
      </c>
      <c r="E20" s="9">
        <f>+E7-E18</f>
        <v>10638</v>
      </c>
      <c r="F20" s="59">
        <f t="shared" ref="F20" si="24">SUM(B20:E20)</f>
        <v>36006</v>
      </c>
      <c r="G20" s="9">
        <f>+G7-G18</f>
        <v>11052</v>
      </c>
      <c r="H20" s="9">
        <f>+H7-H18</f>
        <v>10106</v>
      </c>
      <c r="I20" s="9">
        <f>+I7-I18</f>
        <v>12814</v>
      </c>
      <c r="J20" s="9">
        <f>+J7-J18</f>
        <v>12352</v>
      </c>
      <c r="K20" s="59">
        <f t="shared" ref="K20" si="25">SUM(G20:J20)</f>
        <v>46324</v>
      </c>
      <c r="L20" s="9">
        <f>+L7-L18</f>
        <v>12540</v>
      </c>
      <c r="M20" s="9">
        <f>+M7-M18</f>
        <v>12773</v>
      </c>
      <c r="N20" s="9">
        <f>+N7-N18</f>
        <v>17089</v>
      </c>
      <c r="O20" s="9">
        <f>+O7-O18</f>
        <v>14794</v>
      </c>
      <c r="P20" s="59">
        <f t="shared" si="3"/>
        <v>57196</v>
      </c>
      <c r="Q20" s="9">
        <f>+Q7-Q18</f>
        <v>2025</v>
      </c>
      <c r="R20" s="9">
        <f>+R7-R18</f>
        <v>-1286</v>
      </c>
      <c r="S20" s="9">
        <f>+S7-S18</f>
        <v>3648</v>
      </c>
      <c r="T20" s="9">
        <f>+T7-T18</f>
        <v>4670</v>
      </c>
      <c r="U20" s="59">
        <f t="shared" si="4"/>
        <v>9057</v>
      </c>
      <c r="V20" s="9">
        <f>+V7-V18</f>
        <v>5331</v>
      </c>
      <c r="W20" s="9">
        <f>+W7-W18</f>
        <v>15711</v>
      </c>
      <c r="X20" s="9">
        <f>+X7-X18</f>
        <v>20545</v>
      </c>
      <c r="Y20" s="9">
        <f>+Y7-Y18</f>
        <v>38814</v>
      </c>
      <c r="Z20" s="59">
        <f t="shared" ref="Z20" si="26">SUM(V20:Y20)</f>
        <v>80401</v>
      </c>
      <c r="AA20" s="9">
        <f>+AA7-AA18</f>
        <v>34098</v>
      </c>
      <c r="AB20" s="9">
        <f>+AB7-AB18</f>
        <v>46122</v>
      </c>
      <c r="AC20" s="9">
        <f>+AC7-AC18</f>
        <v>49232</v>
      </c>
      <c r="AD20" s="9">
        <f>+AD7-AD18</f>
        <v>46070</v>
      </c>
      <c r="AE20" s="59">
        <f t="shared" si="6"/>
        <v>175522</v>
      </c>
      <c r="AF20" s="9">
        <f>+AF7-AF18</f>
        <v>45177</v>
      </c>
      <c r="AG20" s="9">
        <f>+AG7-AG18</f>
        <v>56445</v>
      </c>
      <c r="AH20" s="9">
        <f>+AH7-AH18</f>
        <v>60007</v>
      </c>
      <c r="AI20" s="9">
        <f>+AI7-AI18</f>
        <v>47259</v>
      </c>
      <c r="AJ20" s="59">
        <f t="shared" si="7"/>
        <v>208888</v>
      </c>
      <c r="AK20" s="9">
        <f>+AK7-AK18</f>
        <v>49646</v>
      </c>
      <c r="AL20" s="9">
        <f>+AL7-AL18</f>
        <v>59875</v>
      </c>
      <c r="AM20" s="9">
        <f>+AM7-AM18</f>
        <v>59773</v>
      </c>
      <c r="AN20" s="9">
        <f>+AN7-AN18</f>
        <v>48853</v>
      </c>
      <c r="AO20" s="59">
        <f t="shared" si="8"/>
        <v>218147</v>
      </c>
      <c r="AP20" s="9">
        <f>+AP7-AP18</f>
        <v>57789</v>
      </c>
      <c r="AQ20" s="9">
        <f>+AQ7-AQ18</f>
        <v>68749</v>
      </c>
      <c r="AR20" s="9">
        <f>+AR7-AR18</f>
        <v>77589</v>
      </c>
      <c r="AS20" s="9">
        <f>+AS7-AS18</f>
        <v>79631</v>
      </c>
      <c r="AT20" s="59">
        <f t="shared" si="9"/>
        <v>283758</v>
      </c>
      <c r="AU20" s="9">
        <f>+AU7-AU18</f>
        <v>82022</v>
      </c>
      <c r="AV20" s="9">
        <f>+AV7-AV18</f>
        <v>87443</v>
      </c>
      <c r="AW20" s="9">
        <f>+AW7-AW18</f>
        <v>89562</v>
      </c>
      <c r="AX20" s="9">
        <f>+AX7-AX18</f>
        <v>83016</v>
      </c>
      <c r="AY20" s="59">
        <f t="shared" si="10"/>
        <v>342043</v>
      </c>
      <c r="AZ20" s="9">
        <f>+AZ7-AZ18</f>
        <v>70019</v>
      </c>
      <c r="BA20" s="9">
        <f>+BA7-BA18</f>
        <v>95008</v>
      </c>
      <c r="BB20" s="9">
        <f>+BB7-BB18</f>
        <v>94086</v>
      </c>
      <c r="BC20" s="9">
        <f>+BC7-BC18</f>
        <v>105201</v>
      </c>
      <c r="BD20" s="59">
        <f t="shared" ref="BD20" si="27">SUM(AZ20:BC20)</f>
        <v>364314</v>
      </c>
      <c r="BE20" s="9">
        <f>+BE7-BE18</f>
        <v>101481</v>
      </c>
      <c r="BF20" s="9">
        <v>141142</v>
      </c>
      <c r="BG20" s="9">
        <f>+BG7-BG18</f>
        <v>160222</v>
      </c>
      <c r="BH20" s="9">
        <f>+BH7-BH18</f>
        <v>148267</v>
      </c>
      <c r="BI20" s="59">
        <f t="shared" ref="BI20" si="28">SUM(BE20:BH20)</f>
        <v>551112</v>
      </c>
      <c r="BJ20" s="9">
        <f>+BJ7-BJ18</f>
        <v>141100</v>
      </c>
      <c r="BK20" s="9">
        <f>+BK7-BK18</f>
        <v>162391</v>
      </c>
      <c r="BL20" s="9">
        <f>+BL7-BL18</f>
        <v>123863</v>
      </c>
      <c r="BM20" s="9">
        <f>+BM7-BM18</f>
        <v>96052</v>
      </c>
      <c r="BN20" s="59">
        <f t="shared" ref="BN20" si="29">SUM(BJ20:BM20)</f>
        <v>523406</v>
      </c>
      <c r="BO20" s="9">
        <f>+BO7-BO18</f>
        <v>68315</v>
      </c>
      <c r="BP20" s="9">
        <f>+BP7-BP18</f>
        <v>91090</v>
      </c>
      <c r="BQ20" s="9">
        <f>+BQ7-BQ18</f>
        <v>74145</v>
      </c>
      <c r="BR20" s="9">
        <f>+BR7-BR18</f>
        <v>243</v>
      </c>
      <c r="BS20" s="59">
        <f t="shared" ref="BS20" si="30">SUM(BO20:BR20)</f>
        <v>233793</v>
      </c>
      <c r="BT20" s="9">
        <f>+BT7-BT18</f>
        <v>44796</v>
      </c>
      <c r="BU20" s="9">
        <f>+BU7-BU18</f>
        <v>47209</v>
      </c>
      <c r="BV20" s="9">
        <v>41413</v>
      </c>
      <c r="BW20" s="9">
        <f>+BW7-BW18</f>
        <v>65241</v>
      </c>
      <c r="BX20" s="59">
        <f t="shared" ref="BX20" si="31">SUM(BT20:BW20)</f>
        <v>198659</v>
      </c>
      <c r="BY20" s="9">
        <f>+BY7-BY18</f>
        <v>88842</v>
      </c>
      <c r="BZ20" s="9">
        <f>+BZ7-BZ18</f>
        <v>92252</v>
      </c>
      <c r="CA20" s="9">
        <f>+CA7-CA18</f>
        <v>101986</v>
      </c>
      <c r="CB20" s="9">
        <f>+CB7-CB18</f>
        <v>84803</v>
      </c>
      <c r="CC20" s="59">
        <f t="shared" ref="CC20" si="32">SUM(BY20:CB20)</f>
        <v>367883</v>
      </c>
      <c r="CD20" s="9">
        <f>+CD7-CD18</f>
        <v>93143</v>
      </c>
      <c r="CE20" s="9">
        <f>+CE7-CE18</f>
        <v>71675</v>
      </c>
      <c r="CF20" s="9">
        <f>+CF7-CF18</f>
        <v>93162</v>
      </c>
      <c r="CG20" s="9">
        <f>+CG7-CG18</f>
        <v>-88480</v>
      </c>
      <c r="CH20" s="59">
        <f t="shared" ref="CH20" si="33">SUM(CD20:CG20)</f>
        <v>169500</v>
      </c>
      <c r="CI20" s="9">
        <f>+CI7-CI18</f>
        <v>75426</v>
      </c>
      <c r="CJ20" s="9">
        <f t="shared" ref="CJ20:CL20" si="34">+CJ7-CJ18</f>
        <v>72063</v>
      </c>
      <c r="CK20" s="9">
        <f t="shared" si="34"/>
        <v>55706</v>
      </c>
      <c r="CL20" s="9">
        <f t="shared" si="34"/>
        <v>28778</v>
      </c>
      <c r="CM20" s="59">
        <f t="shared" ref="CM20" si="35">SUM(CI20:CL20)</f>
        <v>231973</v>
      </c>
      <c r="CN20" s="9">
        <f>+CN7-CN18</f>
        <v>19100</v>
      </c>
      <c r="CO20" s="9">
        <f>+CO7-CO18</f>
        <v>12040</v>
      </c>
      <c r="CP20" s="9"/>
      <c r="CQ20" s="9"/>
      <c r="CR20" s="59">
        <f t="shared" ref="CR20" si="36">SUM(CN20:CQ20)</f>
        <v>31140</v>
      </c>
    </row>
    <row r="21" spans="1:96" ht="11.15" customHeight="1" x14ac:dyDescent="0.2">
      <c r="A21" s="6"/>
      <c r="B21" s="10"/>
      <c r="C21" s="10"/>
      <c r="D21" s="10"/>
      <c r="E21" s="10"/>
      <c r="F21" s="61"/>
      <c r="G21" s="10"/>
      <c r="H21" s="10"/>
      <c r="I21" s="10"/>
      <c r="J21" s="10"/>
      <c r="K21" s="61"/>
      <c r="L21" s="10"/>
      <c r="M21" s="10"/>
      <c r="N21" s="10"/>
      <c r="O21" s="10"/>
      <c r="P21" s="61"/>
      <c r="Q21" s="10"/>
      <c r="R21" s="10"/>
      <c r="S21" s="10"/>
      <c r="T21" s="10"/>
      <c r="U21" s="61"/>
      <c r="V21" s="10"/>
      <c r="W21" s="10"/>
      <c r="X21" s="10"/>
      <c r="Y21" s="10"/>
      <c r="Z21" s="61"/>
      <c r="AA21" s="10"/>
      <c r="AB21" s="10"/>
      <c r="AC21" s="10"/>
      <c r="AD21" s="10"/>
      <c r="AE21" s="61"/>
      <c r="AF21" s="10"/>
      <c r="AG21" s="10"/>
      <c r="AH21" s="10"/>
      <c r="AI21" s="10"/>
      <c r="AJ21" s="61"/>
      <c r="AK21" s="10"/>
      <c r="AL21" s="10"/>
      <c r="AM21" s="10"/>
      <c r="AN21" s="10"/>
      <c r="AO21" s="61"/>
      <c r="AP21" s="10"/>
      <c r="AQ21" s="10"/>
      <c r="AR21" s="10"/>
      <c r="AS21" s="10"/>
      <c r="AT21" s="61"/>
      <c r="AU21" s="10"/>
      <c r="AV21" s="10"/>
      <c r="AW21" s="10"/>
      <c r="AX21" s="10"/>
      <c r="AY21" s="61"/>
      <c r="AZ21" s="10"/>
      <c r="BA21" s="10"/>
      <c r="BB21" s="10"/>
      <c r="BC21" s="10"/>
      <c r="BD21" s="61"/>
      <c r="BE21" s="10"/>
      <c r="BF21" s="10"/>
      <c r="BG21" s="10"/>
      <c r="BH21" s="10"/>
      <c r="BI21" s="61"/>
      <c r="BJ21" s="10"/>
      <c r="BK21" s="10"/>
      <c r="BL21" s="10"/>
      <c r="BM21" s="10"/>
      <c r="BN21" s="61"/>
      <c r="BO21" s="10"/>
      <c r="BP21" s="10"/>
      <c r="BQ21" s="10"/>
      <c r="BR21" s="10"/>
      <c r="BS21" s="61"/>
      <c r="BT21" s="10"/>
      <c r="BU21" s="10"/>
      <c r="BV21" s="10"/>
      <c r="BW21" s="10"/>
      <c r="BX21" s="61"/>
      <c r="BY21" s="10"/>
      <c r="BZ21" s="10"/>
      <c r="CA21" s="10"/>
      <c r="CB21" s="10"/>
      <c r="CC21" s="61"/>
      <c r="CD21" s="10"/>
      <c r="CE21" s="10"/>
      <c r="CF21" s="10"/>
      <c r="CG21" s="10"/>
      <c r="CH21" s="61"/>
      <c r="CI21" s="10"/>
      <c r="CJ21" s="10"/>
      <c r="CK21" s="10"/>
      <c r="CL21" s="10"/>
      <c r="CM21" s="61"/>
      <c r="CN21" s="10"/>
      <c r="CO21" s="10"/>
      <c r="CP21" s="10"/>
      <c r="CQ21" s="10"/>
      <c r="CR21" s="61"/>
    </row>
    <row r="22" spans="1:96" ht="11.9" customHeight="1" x14ac:dyDescent="0.2">
      <c r="A22" s="6" t="s">
        <v>167</v>
      </c>
      <c r="B22" s="10"/>
      <c r="C22" s="10"/>
      <c r="D22" s="10"/>
      <c r="E22" s="10"/>
      <c r="F22" s="61"/>
      <c r="G22" s="10"/>
      <c r="H22" s="10"/>
      <c r="I22" s="10"/>
      <c r="J22" s="10"/>
      <c r="K22" s="61"/>
      <c r="L22" s="10"/>
      <c r="M22" s="10"/>
      <c r="N22" s="10"/>
      <c r="O22" s="10"/>
      <c r="P22" s="61"/>
      <c r="Q22" s="10"/>
      <c r="R22" s="10"/>
      <c r="S22" s="10"/>
      <c r="T22" s="10"/>
      <c r="U22" s="61"/>
      <c r="V22" s="10"/>
      <c r="W22" s="10"/>
      <c r="X22" s="10"/>
      <c r="Y22" s="10"/>
      <c r="Z22" s="61"/>
      <c r="AA22" s="10"/>
      <c r="AB22" s="10"/>
      <c r="AC22" s="10"/>
      <c r="AD22" s="10"/>
      <c r="AE22" s="61"/>
      <c r="AF22" s="10"/>
      <c r="AG22" s="10"/>
      <c r="AH22" s="10"/>
      <c r="AI22" s="10"/>
      <c r="AJ22" s="61"/>
      <c r="AK22" s="10"/>
      <c r="AL22" s="10"/>
      <c r="AM22" s="10"/>
      <c r="AN22" s="10"/>
      <c r="AO22" s="61"/>
      <c r="AP22" s="10"/>
      <c r="AQ22" s="10"/>
      <c r="AR22" s="10"/>
      <c r="AS22" s="10"/>
      <c r="AT22" s="61"/>
      <c r="AU22" s="10"/>
      <c r="AV22" s="10"/>
      <c r="AW22" s="10"/>
      <c r="AX22" s="10"/>
      <c r="AY22" s="61"/>
      <c r="AZ22" s="10"/>
      <c r="BA22" s="10"/>
      <c r="BB22" s="10"/>
      <c r="BC22" s="10"/>
      <c r="BD22" s="61"/>
      <c r="BE22" s="10"/>
      <c r="BF22" s="10"/>
      <c r="BG22" s="10"/>
      <c r="BH22" s="10"/>
      <c r="BI22" s="61"/>
      <c r="BJ22" s="10"/>
      <c r="BK22" s="10"/>
      <c r="BL22" s="10"/>
      <c r="BM22" s="10"/>
      <c r="BN22" s="61"/>
      <c r="BO22" s="10"/>
      <c r="BP22" s="10"/>
      <c r="BQ22" s="10"/>
      <c r="BR22" s="10"/>
      <c r="BS22" s="61"/>
      <c r="BT22" s="10"/>
      <c r="BU22" s="10"/>
      <c r="BV22" s="10"/>
      <c r="BW22" s="10"/>
      <c r="BX22" s="61"/>
      <c r="BY22" s="10"/>
      <c r="BZ22" s="10"/>
      <c r="CA22" s="10"/>
      <c r="CB22" s="10"/>
      <c r="CC22" s="61"/>
      <c r="CD22" s="10"/>
      <c r="CE22" s="10"/>
      <c r="CF22" s="10"/>
      <c r="CG22" s="10"/>
      <c r="CH22" s="61"/>
      <c r="CI22" s="10"/>
      <c r="CJ22" s="10"/>
      <c r="CK22" s="10"/>
      <c r="CL22" s="10"/>
      <c r="CM22" s="61"/>
      <c r="CN22" s="10"/>
      <c r="CO22" s="10"/>
      <c r="CP22" s="10"/>
      <c r="CQ22" s="10"/>
      <c r="CR22" s="61"/>
    </row>
    <row r="23" spans="1:96" ht="11.15" customHeight="1" x14ac:dyDescent="0.2">
      <c r="A23" s="7" t="s">
        <v>47</v>
      </c>
      <c r="B23" s="39">
        <v>-355</v>
      </c>
      <c r="C23" s="39">
        <v>-354</v>
      </c>
      <c r="D23" s="39">
        <v>-342</v>
      </c>
      <c r="E23" s="39">
        <v>-442</v>
      </c>
      <c r="F23" s="61">
        <f t="shared" ref="F23:F25" si="37">SUM(B23:E23)</f>
        <v>-1493</v>
      </c>
      <c r="G23" s="39">
        <v>396</v>
      </c>
      <c r="H23" s="39">
        <v>117</v>
      </c>
      <c r="I23" s="39">
        <v>198</v>
      </c>
      <c r="J23" s="39">
        <v>-37</v>
      </c>
      <c r="K23" s="61">
        <f t="shared" ref="K23:K25" si="38">SUM(G23:J23)</f>
        <v>674</v>
      </c>
      <c r="L23" s="39">
        <v>-95</v>
      </c>
      <c r="M23" s="39">
        <v>-183</v>
      </c>
      <c r="N23" s="39">
        <v>-194</v>
      </c>
      <c r="O23" s="39">
        <v>-305</v>
      </c>
      <c r="P23" s="61">
        <f t="shared" si="3"/>
        <v>-777</v>
      </c>
      <c r="Q23" s="39">
        <v>-390</v>
      </c>
      <c r="R23" s="39">
        <v>-367</v>
      </c>
      <c r="S23" s="39">
        <v>-266</v>
      </c>
      <c r="T23" s="39">
        <v>-229</v>
      </c>
      <c r="U23" s="61">
        <f t="shared" si="4"/>
        <v>-1252</v>
      </c>
      <c r="V23" s="39">
        <v>-208</v>
      </c>
      <c r="W23" s="39">
        <v>-191</v>
      </c>
      <c r="X23" s="39">
        <v>-350</v>
      </c>
      <c r="Y23" s="39">
        <v>-439</v>
      </c>
      <c r="Z23" s="61">
        <f t="shared" ref="Z23:Z25" si="39">SUM(V23:Y23)</f>
        <v>-1188</v>
      </c>
      <c r="AA23" s="39">
        <v>-206</v>
      </c>
      <c r="AB23" s="39">
        <v>-170</v>
      </c>
      <c r="AC23" s="39">
        <v>-209</v>
      </c>
      <c r="AD23" s="39">
        <v>-96</v>
      </c>
      <c r="AE23" s="61">
        <f t="shared" si="6"/>
        <v>-681</v>
      </c>
      <c r="AF23" s="39">
        <v>-129</v>
      </c>
      <c r="AG23" s="39">
        <v>615</v>
      </c>
      <c r="AH23" s="39">
        <v>55</v>
      </c>
      <c r="AI23" s="39">
        <v>-222</v>
      </c>
      <c r="AJ23" s="61">
        <f t="shared" si="7"/>
        <v>319</v>
      </c>
      <c r="AK23" s="39">
        <v>-53</v>
      </c>
      <c r="AL23" s="39">
        <v>-35</v>
      </c>
      <c r="AM23" s="39">
        <v>63</v>
      </c>
      <c r="AN23" s="39">
        <v>24</v>
      </c>
      <c r="AO23" s="61">
        <f t="shared" si="8"/>
        <v>-1</v>
      </c>
      <c r="AP23" s="39">
        <v>-139</v>
      </c>
      <c r="AQ23" s="39">
        <v>0</v>
      </c>
      <c r="AR23" s="39">
        <v>-4</v>
      </c>
      <c r="AS23" s="39">
        <v>66</v>
      </c>
      <c r="AT23" s="61">
        <f t="shared" si="9"/>
        <v>-77</v>
      </c>
      <c r="AU23" s="39">
        <v>-184</v>
      </c>
      <c r="AV23" s="39">
        <v>-112</v>
      </c>
      <c r="AW23" s="39">
        <v>-40</v>
      </c>
      <c r="AX23" s="39">
        <v>34</v>
      </c>
      <c r="AY23" s="61">
        <f t="shared" si="10"/>
        <v>-302</v>
      </c>
      <c r="AZ23" s="39">
        <v>192</v>
      </c>
      <c r="BA23" s="39">
        <v>270</v>
      </c>
      <c r="BB23" s="39">
        <v>373</v>
      </c>
      <c r="BC23" s="39">
        <v>469</v>
      </c>
      <c r="BD23" s="61">
        <f t="shared" ref="BD23:BD25" si="40">SUM(AZ23:BC23)</f>
        <v>1304</v>
      </c>
      <c r="BE23" s="39">
        <v>308</v>
      </c>
      <c r="BF23" s="39">
        <v>468</v>
      </c>
      <c r="BG23" s="39">
        <v>-125</v>
      </c>
      <c r="BH23" s="39">
        <v>86</v>
      </c>
      <c r="BI23" s="61">
        <f t="shared" ref="BI23:BI25" si="41">SUM(BE23:BH23)</f>
        <v>737</v>
      </c>
      <c r="BJ23" s="39">
        <v>311</v>
      </c>
      <c r="BK23" s="39">
        <v>729</v>
      </c>
      <c r="BL23" s="39">
        <v>3884</v>
      </c>
      <c r="BM23" s="39">
        <v>4132</v>
      </c>
      <c r="BN23" s="61">
        <f t="shared" ref="BN23:BN25" si="42">SUM(BJ23:BM23)</f>
        <v>9056</v>
      </c>
      <c r="BO23" s="39">
        <v>3952</v>
      </c>
      <c r="BP23" s="39">
        <v>4051</v>
      </c>
      <c r="BQ23" s="39">
        <v>3734</v>
      </c>
      <c r="BR23" s="39">
        <v>2501</v>
      </c>
      <c r="BS23" s="61">
        <f t="shared" ref="BS23:BS25" si="43">SUM(BO23:BR23)</f>
        <v>14238</v>
      </c>
      <c r="BT23" s="39">
        <v>3073</v>
      </c>
      <c r="BU23" s="39">
        <v>1856</v>
      </c>
      <c r="BV23" s="39">
        <v>1168</v>
      </c>
      <c r="BW23" s="39">
        <v>173</v>
      </c>
      <c r="BX23" s="61">
        <f t="shared" ref="BX23:BX25" si="44">SUM(BT23:BW23)</f>
        <v>6270</v>
      </c>
      <c r="BY23" s="39">
        <v>-495</v>
      </c>
      <c r="BZ23" s="39">
        <v>-407</v>
      </c>
      <c r="CA23" s="39">
        <v>-288</v>
      </c>
      <c r="CB23" s="39">
        <v>-649</v>
      </c>
      <c r="CC23" s="61">
        <f t="shared" ref="CC23:CC25" si="45">SUM(BY23:CB23)</f>
        <v>-1839</v>
      </c>
      <c r="CD23" s="39">
        <v>-70</v>
      </c>
      <c r="CE23" s="39">
        <v>1177</v>
      </c>
      <c r="CF23" s="39">
        <v>3625</v>
      </c>
      <c r="CG23" s="39">
        <v>7888</v>
      </c>
      <c r="CH23" s="61">
        <f t="shared" ref="CH23:CH25" si="46">SUM(CD23:CG23)</f>
        <v>12620</v>
      </c>
      <c r="CI23" s="39">
        <v>7533</v>
      </c>
      <c r="CJ23" s="39">
        <v>9264</v>
      </c>
      <c r="CK23" s="39">
        <v>11569</v>
      </c>
      <c r="CL23" s="39">
        <v>13369</v>
      </c>
      <c r="CM23" s="61">
        <f t="shared" ref="CM23:CM25" si="47">SUM(CI23:CL23)</f>
        <v>41735</v>
      </c>
      <c r="CN23" s="39">
        <v>14177</v>
      </c>
      <c r="CO23" s="39">
        <v>12778</v>
      </c>
      <c r="CP23" s="39"/>
      <c r="CQ23" s="39"/>
      <c r="CR23" s="61">
        <f t="shared" ref="CR23:CR25" si="48">SUM(CN23:CQ23)</f>
        <v>26955</v>
      </c>
    </row>
    <row r="24" spans="1:96" ht="11.15" customHeight="1" x14ac:dyDescent="0.2">
      <c r="A24" s="7" t="s">
        <v>168</v>
      </c>
      <c r="B24" s="39">
        <f>-1862+8</f>
        <v>-1854</v>
      </c>
      <c r="C24" s="39">
        <f>-357+4</f>
        <v>-353</v>
      </c>
      <c r="D24" s="39">
        <f>-2137+131</f>
        <v>-2006</v>
      </c>
      <c r="E24" s="39">
        <f>-3088+907</f>
        <v>-2181</v>
      </c>
      <c r="F24" s="61">
        <f t="shared" si="37"/>
        <v>-6394</v>
      </c>
      <c r="G24" s="39">
        <v>44</v>
      </c>
      <c r="H24" s="39">
        <v>-8</v>
      </c>
      <c r="I24" s="39">
        <v>309</v>
      </c>
      <c r="J24" s="39">
        <v>267</v>
      </c>
      <c r="K24" s="61">
        <f t="shared" si="38"/>
        <v>612</v>
      </c>
      <c r="L24" s="39">
        <v>47</v>
      </c>
      <c r="M24" s="39">
        <v>489</v>
      </c>
      <c r="N24" s="39">
        <v>-103</v>
      </c>
      <c r="O24" s="39">
        <v>-288</v>
      </c>
      <c r="P24" s="61">
        <f t="shared" si="3"/>
        <v>145</v>
      </c>
      <c r="Q24" s="39">
        <v>-148</v>
      </c>
      <c r="R24" s="39">
        <v>-36</v>
      </c>
      <c r="S24" s="39">
        <v>-75</v>
      </c>
      <c r="T24" s="39">
        <v>223</v>
      </c>
      <c r="U24" s="61">
        <f t="shared" si="4"/>
        <v>-36</v>
      </c>
      <c r="V24" s="39">
        <v>-66</v>
      </c>
      <c r="W24" s="39">
        <v>-26</v>
      </c>
      <c r="X24" s="39">
        <v>-322</v>
      </c>
      <c r="Y24" s="39">
        <v>453</v>
      </c>
      <c r="Z24" s="61">
        <f t="shared" si="39"/>
        <v>39</v>
      </c>
      <c r="AA24" s="39">
        <v>8</v>
      </c>
      <c r="AB24" s="39">
        <v>-618</v>
      </c>
      <c r="AC24" s="39">
        <v>145</v>
      </c>
      <c r="AD24" s="39">
        <v>208</v>
      </c>
      <c r="AE24" s="61">
        <f t="shared" si="6"/>
        <v>-257</v>
      </c>
      <c r="AF24" s="39">
        <v>-1094</v>
      </c>
      <c r="AG24" s="39">
        <v>-92</v>
      </c>
      <c r="AH24" s="39">
        <v>205</v>
      </c>
      <c r="AI24" s="39">
        <v>989</v>
      </c>
      <c r="AJ24" s="61">
        <f t="shared" si="7"/>
        <v>8</v>
      </c>
      <c r="AK24" s="39">
        <v>70</v>
      </c>
      <c r="AL24" s="39">
        <v>-239</v>
      </c>
      <c r="AM24" s="39">
        <v>218</v>
      </c>
      <c r="AN24" s="39">
        <v>106</v>
      </c>
      <c r="AO24" s="61">
        <f t="shared" si="8"/>
        <v>155</v>
      </c>
      <c r="AP24" s="39">
        <v>334</v>
      </c>
      <c r="AQ24" s="39">
        <v>239</v>
      </c>
      <c r="AR24" s="39">
        <v>162</v>
      </c>
      <c r="AS24" s="39">
        <v>58</v>
      </c>
      <c r="AT24" s="61">
        <f t="shared" si="9"/>
        <v>793</v>
      </c>
      <c r="AU24" s="39">
        <v>85</v>
      </c>
      <c r="AV24" s="39">
        <v>161</v>
      </c>
      <c r="AW24" s="39">
        <v>132</v>
      </c>
      <c r="AX24" s="39">
        <v>-503</v>
      </c>
      <c r="AY24" s="61">
        <f t="shared" si="10"/>
        <v>-125</v>
      </c>
      <c r="AZ24" s="39">
        <v>7</v>
      </c>
      <c r="BA24" s="39">
        <v>141</v>
      </c>
      <c r="BB24" s="39">
        <v>194</v>
      </c>
      <c r="BC24" s="39">
        <v>606</v>
      </c>
      <c r="BD24" s="61">
        <f t="shared" si="40"/>
        <v>948</v>
      </c>
      <c r="BE24" s="39">
        <v>-529</v>
      </c>
      <c r="BF24" s="39">
        <v>23</v>
      </c>
      <c r="BG24" s="39">
        <v>459</v>
      </c>
      <c r="BH24" s="39">
        <v>69</v>
      </c>
      <c r="BI24" s="61">
        <f t="shared" si="41"/>
        <v>22</v>
      </c>
      <c r="BJ24" s="39">
        <v>443</v>
      </c>
      <c r="BK24" s="39">
        <v>386</v>
      </c>
      <c r="BL24" s="39">
        <v>423</v>
      </c>
      <c r="BM24" s="39">
        <v>681</v>
      </c>
      <c r="BN24" s="61">
        <f t="shared" si="42"/>
        <v>1933</v>
      </c>
      <c r="BO24" s="39">
        <v>-9</v>
      </c>
      <c r="BP24" s="39">
        <v>658</v>
      </c>
      <c r="BQ24" s="39">
        <v>-520</v>
      </c>
      <c r="BR24" s="39">
        <v>216</v>
      </c>
      <c r="BS24" s="61">
        <f t="shared" si="43"/>
        <v>345</v>
      </c>
      <c r="BT24" s="39">
        <v>191</v>
      </c>
      <c r="BU24" s="39">
        <v>449</v>
      </c>
      <c r="BV24" s="39">
        <v>-59</v>
      </c>
      <c r="BW24" s="39">
        <v>182</v>
      </c>
      <c r="BX24" s="61">
        <f t="shared" si="44"/>
        <v>763</v>
      </c>
      <c r="BY24" s="39">
        <v>253</v>
      </c>
      <c r="BZ24" s="39">
        <v>28</v>
      </c>
      <c r="CA24" s="39">
        <v>-211</v>
      </c>
      <c r="CB24" s="39">
        <v>367</v>
      </c>
      <c r="CC24" s="61">
        <f t="shared" si="45"/>
        <v>437</v>
      </c>
      <c r="CD24" s="39">
        <v>-236</v>
      </c>
      <c r="CE24" s="39">
        <v>618</v>
      </c>
      <c r="CF24" s="39">
        <v>301</v>
      </c>
      <c r="CG24" s="39">
        <v>548</v>
      </c>
      <c r="CH24" s="61">
        <f t="shared" si="46"/>
        <v>1231</v>
      </c>
      <c r="CI24" s="39">
        <v>331</v>
      </c>
      <c r="CJ24" s="39">
        <v>285</v>
      </c>
      <c r="CK24" s="39">
        <v>545</v>
      </c>
      <c r="CL24" s="39">
        <v>6</v>
      </c>
      <c r="CM24" s="61">
        <f t="shared" si="47"/>
        <v>1167</v>
      </c>
      <c r="CN24" s="39">
        <v>325</v>
      </c>
      <c r="CO24" s="39">
        <v>194</v>
      </c>
      <c r="CP24" s="39"/>
      <c r="CQ24" s="39"/>
      <c r="CR24" s="61">
        <f t="shared" si="48"/>
        <v>519</v>
      </c>
    </row>
    <row r="25" spans="1:96" ht="11.15" customHeight="1" x14ac:dyDescent="0.2">
      <c r="A25" s="21" t="s">
        <v>65</v>
      </c>
      <c r="B25" s="12">
        <f>SUM(B23:B24)</f>
        <v>-2209</v>
      </c>
      <c r="C25" s="12">
        <f>SUM(C23:C24)</f>
        <v>-707</v>
      </c>
      <c r="D25" s="12">
        <f>SUM(D23:D24)</f>
        <v>-2348</v>
      </c>
      <c r="E25" s="12">
        <f>SUM(E23:E24)</f>
        <v>-2623</v>
      </c>
      <c r="F25" s="60">
        <f t="shared" si="37"/>
        <v>-7887</v>
      </c>
      <c r="G25" s="12">
        <f>SUM(G23:G24)</f>
        <v>440</v>
      </c>
      <c r="H25" s="12">
        <f>SUM(H23:H24)</f>
        <v>109</v>
      </c>
      <c r="I25" s="12">
        <f>SUM(I23:I24)</f>
        <v>507</v>
      </c>
      <c r="J25" s="12">
        <f>SUM(J23:J24)</f>
        <v>230</v>
      </c>
      <c r="K25" s="60">
        <f t="shared" si="38"/>
        <v>1286</v>
      </c>
      <c r="L25" s="12">
        <f>SUM(L23:L24)</f>
        <v>-48</v>
      </c>
      <c r="M25" s="12">
        <f>SUM(M23:M24)</f>
        <v>306</v>
      </c>
      <c r="N25" s="12">
        <f>SUM(N23:N24)</f>
        <v>-297</v>
      </c>
      <c r="O25" s="12">
        <f>SUM(O23:O24)</f>
        <v>-593</v>
      </c>
      <c r="P25" s="60">
        <f t="shared" si="3"/>
        <v>-632</v>
      </c>
      <c r="Q25" s="12">
        <f>SUM(Q23:Q24)</f>
        <v>-538</v>
      </c>
      <c r="R25" s="12">
        <f>SUM(R23:R24)</f>
        <v>-403</v>
      </c>
      <c r="S25" s="12">
        <f>SUM(S23:S24)</f>
        <v>-341</v>
      </c>
      <c r="T25" s="12">
        <f>SUM(T23:T24)</f>
        <v>-6</v>
      </c>
      <c r="U25" s="60">
        <f t="shared" si="4"/>
        <v>-1288</v>
      </c>
      <c r="V25" s="12">
        <f>SUM(V23:V24)</f>
        <v>-274</v>
      </c>
      <c r="W25" s="12">
        <f>SUM(W23:W24)</f>
        <v>-217</v>
      </c>
      <c r="X25" s="12">
        <f>SUM(X23:X24)</f>
        <v>-672</v>
      </c>
      <c r="Y25" s="12">
        <f>SUM(Y23:Y24)</f>
        <v>14</v>
      </c>
      <c r="Z25" s="60">
        <f t="shared" si="39"/>
        <v>-1149</v>
      </c>
      <c r="AA25" s="12">
        <f>SUM(AA23:AA24)</f>
        <v>-198</v>
      </c>
      <c r="AB25" s="12">
        <f>SUM(AB23:AB24)</f>
        <v>-788</v>
      </c>
      <c r="AC25" s="12">
        <f>SUM(AC23:AC24)</f>
        <v>-64</v>
      </c>
      <c r="AD25" s="12">
        <f>SUM(AD23:AD24)</f>
        <v>112</v>
      </c>
      <c r="AE25" s="60">
        <f t="shared" si="6"/>
        <v>-938</v>
      </c>
      <c r="AF25" s="12">
        <f>SUM(AF23:AF24)</f>
        <v>-1223</v>
      </c>
      <c r="AG25" s="12">
        <f>SUM(AG23:AG24)</f>
        <v>523</v>
      </c>
      <c r="AH25" s="12">
        <f>SUM(AH23:AH24)</f>
        <v>260</v>
      </c>
      <c r="AI25" s="12">
        <f>SUM(AI23:AI24)</f>
        <v>767</v>
      </c>
      <c r="AJ25" s="60">
        <f t="shared" si="7"/>
        <v>327</v>
      </c>
      <c r="AK25" s="12">
        <f>SUM(AK23:AK24)</f>
        <v>17</v>
      </c>
      <c r="AL25" s="12">
        <f>SUM(AL23:AL24)</f>
        <v>-274</v>
      </c>
      <c r="AM25" s="12">
        <f>SUM(AM23:AM24)</f>
        <v>281</v>
      </c>
      <c r="AN25" s="12">
        <f>SUM(AN23:AN24)</f>
        <v>130</v>
      </c>
      <c r="AO25" s="60">
        <f t="shared" si="8"/>
        <v>154</v>
      </c>
      <c r="AP25" s="12">
        <f>SUM(AP23:AP24)</f>
        <v>195</v>
      </c>
      <c r="AQ25" s="12">
        <f>SUM(AQ23:AQ24)</f>
        <v>239</v>
      </c>
      <c r="AR25" s="12">
        <f>SUM(AR23:AR24)</f>
        <v>158</v>
      </c>
      <c r="AS25" s="12">
        <f>SUM(AS23:AS24)</f>
        <v>124</v>
      </c>
      <c r="AT25" s="60">
        <f t="shared" si="9"/>
        <v>716</v>
      </c>
      <c r="AU25" s="12">
        <f>SUM(AU23:AU24)</f>
        <v>-99</v>
      </c>
      <c r="AV25" s="12">
        <f>SUM(AV23:AV24)</f>
        <v>49</v>
      </c>
      <c r="AW25" s="12">
        <f>SUM(AW23:AW24)</f>
        <v>92</v>
      </c>
      <c r="AX25" s="12">
        <f>SUM(AX23:AX24)</f>
        <v>-469</v>
      </c>
      <c r="AY25" s="60">
        <f t="shared" si="10"/>
        <v>-427</v>
      </c>
      <c r="AZ25" s="12">
        <f>SUM(AZ23:AZ24)</f>
        <v>199</v>
      </c>
      <c r="BA25" s="12">
        <f>SUM(BA23:BA24)</f>
        <v>411</v>
      </c>
      <c r="BB25" s="12">
        <f>SUM(BB23:BB24)</f>
        <v>567</v>
      </c>
      <c r="BC25" s="12">
        <f>SUM(BC23:BC24)</f>
        <v>1075</v>
      </c>
      <c r="BD25" s="60">
        <f t="shared" si="40"/>
        <v>2252</v>
      </c>
      <c r="BE25" s="12">
        <f>SUM(BE23:BE24)</f>
        <v>-221</v>
      </c>
      <c r="BF25" s="12">
        <f>SUM(BF23:BF24)</f>
        <v>491</v>
      </c>
      <c r="BG25" s="12">
        <f>SUM(BG23:BG24)</f>
        <v>334</v>
      </c>
      <c r="BH25" s="12">
        <f>SUM(BH23:BH24)</f>
        <v>155</v>
      </c>
      <c r="BI25" s="60">
        <f t="shared" si="41"/>
        <v>759</v>
      </c>
      <c r="BJ25" s="12">
        <f>SUM(BJ23:BJ24)</f>
        <v>754</v>
      </c>
      <c r="BK25" s="12">
        <f>SUM(BK23:BK24)</f>
        <v>1115</v>
      </c>
      <c r="BL25" s="12">
        <f>SUM(BL23:BL24)</f>
        <v>4307</v>
      </c>
      <c r="BM25" s="12">
        <f>SUM(BM23:BM24)</f>
        <v>4813</v>
      </c>
      <c r="BN25" s="60">
        <f t="shared" si="42"/>
        <v>10989</v>
      </c>
      <c r="BO25" s="12">
        <f>SUM(BO23:BO24)</f>
        <v>3943</v>
      </c>
      <c r="BP25" s="12">
        <f>SUM(BP23:BP24)</f>
        <v>4709</v>
      </c>
      <c r="BQ25" s="12">
        <f>SUM(BQ23:BQ24)</f>
        <v>3214</v>
      </c>
      <c r="BR25" s="12">
        <f>SUM(BR23:BR24)</f>
        <v>2717</v>
      </c>
      <c r="BS25" s="60">
        <f t="shared" si="43"/>
        <v>14583</v>
      </c>
      <c r="BT25" s="12">
        <f>SUM(BT23:BT24)</f>
        <v>3264</v>
      </c>
      <c r="BU25" s="12">
        <f>SUM(BU23:BU24)</f>
        <v>2305</v>
      </c>
      <c r="BV25" s="12">
        <f>SUM(BV23:BV24)</f>
        <v>1109</v>
      </c>
      <c r="BW25" s="12">
        <f>SUM(BW23:BW24)</f>
        <v>355</v>
      </c>
      <c r="BX25" s="60">
        <f t="shared" si="44"/>
        <v>7033</v>
      </c>
      <c r="BY25" s="12">
        <f>SUM(BY23:BY24)</f>
        <v>-242</v>
      </c>
      <c r="BZ25" s="12">
        <f>SUM(BZ23:BZ24)</f>
        <v>-379</v>
      </c>
      <c r="CA25" s="12">
        <f>SUM(CA23:CA24)</f>
        <v>-499</v>
      </c>
      <c r="CB25" s="12">
        <f>SUM(CB23:CB24)</f>
        <v>-282</v>
      </c>
      <c r="CC25" s="60">
        <f t="shared" si="45"/>
        <v>-1402</v>
      </c>
      <c r="CD25" s="12">
        <f>SUM(CD23:CD24)</f>
        <v>-306</v>
      </c>
      <c r="CE25" s="12">
        <f>SUM(CE23:CE24)</f>
        <v>1795</v>
      </c>
      <c r="CF25" s="12">
        <f>SUM(CF23:CF24)</f>
        <v>3926</v>
      </c>
      <c r="CG25" s="12">
        <f>SUM(CG23:CG24)</f>
        <v>8436</v>
      </c>
      <c r="CH25" s="60">
        <f t="shared" si="46"/>
        <v>13851</v>
      </c>
      <c r="CI25" s="12">
        <f>SUM(CI23:CI24)</f>
        <v>7864</v>
      </c>
      <c r="CJ25" s="12">
        <f>SUM(CJ23:CJ24)</f>
        <v>9549</v>
      </c>
      <c r="CK25" s="12">
        <f>SUM(CK23:CK24)</f>
        <v>12114</v>
      </c>
      <c r="CL25" s="12">
        <f>SUM(CL23:CL24)</f>
        <v>13375</v>
      </c>
      <c r="CM25" s="60">
        <f t="shared" si="47"/>
        <v>42902</v>
      </c>
      <c r="CN25" s="12">
        <f>SUM(CN23:CN24)</f>
        <v>14502</v>
      </c>
      <c r="CO25" s="12">
        <f>SUM(CO23:CO24)</f>
        <v>12972</v>
      </c>
      <c r="CP25" s="12"/>
      <c r="CQ25" s="12"/>
      <c r="CR25" s="60">
        <f t="shared" si="48"/>
        <v>27474</v>
      </c>
    </row>
    <row r="26" spans="1:96" ht="11.15" customHeight="1" x14ac:dyDescent="0.2">
      <c r="A26" s="21"/>
      <c r="B26" s="11"/>
      <c r="C26" s="11"/>
      <c r="D26" s="11"/>
      <c r="E26" s="11"/>
      <c r="F26" s="61"/>
      <c r="G26" s="11"/>
      <c r="H26" s="11"/>
      <c r="I26" s="11"/>
      <c r="J26" s="11"/>
      <c r="K26" s="61"/>
      <c r="L26" s="11"/>
      <c r="M26" s="11"/>
      <c r="N26" s="11"/>
      <c r="O26" s="11"/>
      <c r="P26" s="61"/>
      <c r="Q26" s="11"/>
      <c r="R26" s="11"/>
      <c r="S26" s="11"/>
      <c r="T26" s="11"/>
      <c r="U26" s="61"/>
      <c r="V26" s="11"/>
      <c r="W26" s="11"/>
      <c r="X26" s="11"/>
      <c r="Y26" s="11"/>
      <c r="Z26" s="61"/>
      <c r="AA26" s="11"/>
      <c r="AB26" s="11"/>
      <c r="AC26" s="11"/>
      <c r="AD26" s="11"/>
      <c r="AE26" s="61"/>
      <c r="AF26" s="11"/>
      <c r="AG26" s="11"/>
      <c r="AH26" s="11"/>
      <c r="AI26" s="11"/>
      <c r="AJ26" s="61"/>
      <c r="AK26" s="11"/>
      <c r="AL26" s="11"/>
      <c r="AM26" s="11"/>
      <c r="AN26" s="11"/>
      <c r="AO26" s="61"/>
      <c r="AP26" s="11"/>
      <c r="AQ26" s="11"/>
      <c r="AR26" s="11"/>
      <c r="AS26" s="11"/>
      <c r="AT26" s="61"/>
      <c r="AU26" s="11"/>
      <c r="AV26" s="11"/>
      <c r="AW26" s="11"/>
      <c r="AX26" s="11"/>
      <c r="AY26" s="61"/>
      <c r="AZ26" s="11"/>
      <c r="BA26" s="11"/>
      <c r="BB26" s="11"/>
      <c r="BC26" s="11"/>
      <c r="BD26" s="61"/>
      <c r="BE26" s="11"/>
      <c r="BF26" s="11"/>
      <c r="BG26" s="11"/>
      <c r="BH26" s="11"/>
      <c r="BI26" s="61"/>
      <c r="BJ26" s="11"/>
      <c r="BK26" s="11"/>
      <c r="BL26" s="11"/>
      <c r="BM26" s="11"/>
      <c r="BN26" s="61"/>
      <c r="BO26" s="11"/>
      <c r="BP26" s="11"/>
      <c r="BQ26" s="11"/>
      <c r="BR26" s="11"/>
      <c r="BS26" s="61"/>
      <c r="BT26" s="11"/>
      <c r="BU26" s="11"/>
      <c r="BV26" s="11"/>
      <c r="BW26" s="11"/>
      <c r="BX26" s="61"/>
      <c r="BY26" s="11"/>
      <c r="BZ26" s="11"/>
      <c r="CA26" s="11"/>
      <c r="CB26" s="11"/>
      <c r="CC26" s="61"/>
      <c r="CD26" s="11"/>
      <c r="CE26" s="11"/>
      <c r="CF26" s="11"/>
      <c r="CG26" s="11"/>
      <c r="CH26" s="61"/>
      <c r="CI26" s="11"/>
      <c r="CJ26" s="11"/>
      <c r="CK26" s="11"/>
      <c r="CL26" s="11"/>
      <c r="CM26" s="61"/>
      <c r="CN26" s="11"/>
      <c r="CO26" s="11"/>
      <c r="CP26" s="11"/>
      <c r="CQ26" s="11"/>
      <c r="CR26" s="61"/>
    </row>
    <row r="27" spans="1:96" ht="11.15" customHeight="1" x14ac:dyDescent="0.2">
      <c r="A27" s="6" t="s">
        <v>169</v>
      </c>
      <c r="B27" s="11">
        <f>B20+B25</f>
        <v>5282</v>
      </c>
      <c r="C27" s="11">
        <f>C20+C25</f>
        <v>6832</v>
      </c>
      <c r="D27" s="11">
        <f>D20+D25</f>
        <v>7990</v>
      </c>
      <c r="E27" s="11">
        <f>E20+E25</f>
        <v>8015</v>
      </c>
      <c r="F27" s="61">
        <f t="shared" ref="F27:F33" si="49">SUM(B27:E27)</f>
        <v>28119</v>
      </c>
      <c r="G27" s="11">
        <f>G20+G25</f>
        <v>11492</v>
      </c>
      <c r="H27" s="11">
        <f>H20+H25</f>
        <v>10215</v>
      </c>
      <c r="I27" s="11">
        <f>I20+I25</f>
        <v>13321</v>
      </c>
      <c r="J27" s="11">
        <f>J20+J25</f>
        <v>12582</v>
      </c>
      <c r="K27" s="61">
        <f t="shared" ref="K27:K30" si="50">SUM(G27:J27)</f>
        <v>47610</v>
      </c>
      <c r="L27" s="11">
        <f>L20+L25</f>
        <v>12492</v>
      </c>
      <c r="M27" s="11">
        <f>M20+M25</f>
        <v>13079</v>
      </c>
      <c r="N27" s="11">
        <f>N20+N25</f>
        <v>16792</v>
      </c>
      <c r="O27" s="11">
        <f>O20+O25</f>
        <v>14201</v>
      </c>
      <c r="P27" s="61">
        <f t="shared" ref="P27:P30" si="51">SUM(L27:O27)</f>
        <v>56564</v>
      </c>
      <c r="Q27" s="11">
        <f>Q20+Q25</f>
        <v>1487</v>
      </c>
      <c r="R27" s="11">
        <f>R20+R25</f>
        <v>-1689</v>
      </c>
      <c r="S27" s="11">
        <f>S20+S25</f>
        <v>3307</v>
      </c>
      <c r="T27" s="11">
        <f>T20+T25</f>
        <v>4664</v>
      </c>
      <c r="U27" s="61">
        <f t="shared" ref="U27:U30" si="52">SUM(Q27:T27)</f>
        <v>7769</v>
      </c>
      <c r="V27" s="11">
        <f>V20+V25</f>
        <v>5057</v>
      </c>
      <c r="W27" s="11">
        <f>W20+W25</f>
        <v>15494</v>
      </c>
      <c r="X27" s="11">
        <f>X20+X25</f>
        <v>19873</v>
      </c>
      <c r="Y27" s="11">
        <f>Y20+Y25</f>
        <v>38828</v>
      </c>
      <c r="Z27" s="61">
        <f t="shared" ref="Z27:Z30" si="53">SUM(V27:Y27)</f>
        <v>79252</v>
      </c>
      <c r="AA27" s="11">
        <f>AA20+AA25</f>
        <v>33900</v>
      </c>
      <c r="AB27" s="11">
        <f>AB20+AB25</f>
        <v>45334</v>
      </c>
      <c r="AC27" s="11">
        <f>AC20+AC25</f>
        <v>49168</v>
      </c>
      <c r="AD27" s="11">
        <f>AD20+AD25</f>
        <v>46182</v>
      </c>
      <c r="AE27" s="61">
        <f t="shared" ref="AE27:AE30" si="54">SUM(AA27:AD27)</f>
        <v>174584</v>
      </c>
      <c r="AF27" s="11">
        <f>AF20+AF25</f>
        <v>43954</v>
      </c>
      <c r="AG27" s="11">
        <f>AG20+AG25</f>
        <v>56968</v>
      </c>
      <c r="AH27" s="11">
        <f>AH20+AH25</f>
        <v>60267</v>
      </c>
      <c r="AI27" s="11">
        <f>AI20+AI25</f>
        <v>48026</v>
      </c>
      <c r="AJ27" s="61">
        <f t="shared" ref="AJ27:AJ30" si="55">SUM(AF27:AI27)</f>
        <v>209215</v>
      </c>
      <c r="AK27" s="11">
        <f>AK20+AK25</f>
        <v>49663</v>
      </c>
      <c r="AL27" s="11">
        <f>AL20+AL25</f>
        <v>59601</v>
      </c>
      <c r="AM27" s="11">
        <f>AM20+AM25</f>
        <v>60054</v>
      </c>
      <c r="AN27" s="11">
        <f>AN20+AN25</f>
        <v>48983</v>
      </c>
      <c r="AO27" s="61">
        <f t="shared" ref="AO27:AO30" si="56">SUM(AK27:AN27)</f>
        <v>218301</v>
      </c>
      <c r="AP27" s="11">
        <f>AP20+AP25</f>
        <v>57984</v>
      </c>
      <c r="AQ27" s="11">
        <f>AQ20+AQ25</f>
        <v>68988</v>
      </c>
      <c r="AR27" s="11">
        <f>AR20+AR25</f>
        <v>77747</v>
      </c>
      <c r="AS27" s="11">
        <f>AS20+AS25</f>
        <v>79755</v>
      </c>
      <c r="AT27" s="61">
        <f t="shared" ref="AT27:AT30" si="57">SUM(AP27:AS27)</f>
        <v>284474</v>
      </c>
      <c r="AU27" s="11">
        <f>AU20+AU25</f>
        <v>81923</v>
      </c>
      <c r="AV27" s="11">
        <f>AV20+AV25</f>
        <v>87492</v>
      </c>
      <c r="AW27" s="11">
        <f>AW20+AW25</f>
        <v>89654</v>
      </c>
      <c r="AX27" s="11">
        <f>AX20+AX25</f>
        <v>82547</v>
      </c>
      <c r="AY27" s="61">
        <f t="shared" ref="AY27:AY30" si="58">SUM(AU27:AX27)</f>
        <v>341616</v>
      </c>
      <c r="AZ27" s="11">
        <f>AZ20+AZ25</f>
        <v>70218</v>
      </c>
      <c r="BA27" s="11">
        <f>BA20+BA25</f>
        <v>95419</v>
      </c>
      <c r="BB27" s="11">
        <f>BB20+BB25</f>
        <v>94653</v>
      </c>
      <c r="BC27" s="11">
        <f>BC20+BC25</f>
        <v>106276</v>
      </c>
      <c r="BD27" s="61">
        <f t="shared" ref="BD27:BD30" si="59">SUM(AZ27:BC27)</f>
        <v>366566</v>
      </c>
      <c r="BE27" s="11">
        <f>BE20+BE25</f>
        <v>101260</v>
      </c>
      <c r="BF27" s="11">
        <f>BF20+BF25</f>
        <v>141633</v>
      </c>
      <c r="BG27" s="11">
        <f>BG20+BG25</f>
        <v>160556</v>
      </c>
      <c r="BH27" s="11">
        <f>BH20+BH25</f>
        <v>148422</v>
      </c>
      <c r="BI27" s="61">
        <f t="shared" ref="BI27:BI30" si="60">SUM(BE27:BH27)</f>
        <v>551871</v>
      </c>
      <c r="BJ27" s="11">
        <f>BJ20+BJ25</f>
        <v>141854</v>
      </c>
      <c r="BK27" s="11">
        <f>BK20+BK25</f>
        <v>163506</v>
      </c>
      <c r="BL27" s="11">
        <f>BL20+BL25</f>
        <v>128170</v>
      </c>
      <c r="BM27" s="11">
        <f>BM20+BM25</f>
        <v>100865</v>
      </c>
      <c r="BN27" s="61">
        <f t="shared" ref="BN27:BN30" si="61">SUM(BJ27:BM27)</f>
        <v>534395</v>
      </c>
      <c r="BO27" s="11">
        <f>BO20+BO25</f>
        <v>72258</v>
      </c>
      <c r="BP27" s="11">
        <f>BP20+BP25</f>
        <v>95799</v>
      </c>
      <c r="BQ27" s="11">
        <f>BQ20+BQ25</f>
        <v>77359</v>
      </c>
      <c r="BR27" s="11">
        <f>BR20+BR25</f>
        <v>2960</v>
      </c>
      <c r="BS27" s="61">
        <f t="shared" ref="BS27:BS30" si="62">SUM(BO27:BR27)</f>
        <v>248376</v>
      </c>
      <c r="BT27" s="11">
        <f>BT20+BT25</f>
        <v>48060</v>
      </c>
      <c r="BU27" s="11">
        <f>BU20+BU25</f>
        <v>49514</v>
      </c>
      <c r="BV27" s="11">
        <v>42522</v>
      </c>
      <c r="BW27" s="11">
        <f>BW20+BW25</f>
        <v>65596</v>
      </c>
      <c r="BX27" s="61">
        <f t="shared" ref="BX27:BX28" si="63">SUM(BT27:BW27)</f>
        <v>205692</v>
      </c>
      <c r="BY27" s="11">
        <f>BY20+BY25</f>
        <v>88600</v>
      </c>
      <c r="BZ27" s="11">
        <f>BZ20+BZ25</f>
        <v>91873</v>
      </c>
      <c r="CA27" s="11">
        <f>CA20+CA25</f>
        <v>101487</v>
      </c>
      <c r="CB27" s="11">
        <f>CB20+CB25</f>
        <v>84521</v>
      </c>
      <c r="CC27" s="61">
        <f t="shared" ref="CC27" si="64">SUM(BY27:CB27)</f>
        <v>366481</v>
      </c>
      <c r="CD27" s="11">
        <f>CD20+CD25</f>
        <v>92837</v>
      </c>
      <c r="CE27" s="11">
        <f>CE20+CE25</f>
        <v>73470</v>
      </c>
      <c r="CF27" s="11">
        <f>CF20+CF25</f>
        <v>97088</v>
      </c>
      <c r="CG27" s="39">
        <v>-80044</v>
      </c>
      <c r="CH27" s="61">
        <f t="shared" ref="CH27" si="65">SUM(CD27:CG27)</f>
        <v>183351</v>
      </c>
      <c r="CI27" s="11">
        <f>CI20+CI25</f>
        <v>83290</v>
      </c>
      <c r="CJ27" s="11">
        <f>CJ20+CJ25</f>
        <v>81612</v>
      </c>
      <c r="CK27" s="11">
        <f>CK20+CK25</f>
        <v>67820</v>
      </c>
      <c r="CL27" s="11">
        <f>CL20+CL25</f>
        <v>42153</v>
      </c>
      <c r="CM27" s="61">
        <f t="shared" ref="CM27" si="66">SUM(CI27:CL27)</f>
        <v>274875</v>
      </c>
      <c r="CN27" s="11">
        <f>CN20+CN25</f>
        <v>33602</v>
      </c>
      <c r="CO27" s="11">
        <f>CO20+CO25</f>
        <v>25012</v>
      </c>
      <c r="CP27" s="11"/>
      <c r="CQ27" s="11"/>
      <c r="CR27" s="61">
        <f t="shared" ref="CR27" si="67">SUM(CN27:CQ27)</f>
        <v>58614</v>
      </c>
    </row>
    <row r="28" spans="1:96" ht="11.15" customHeight="1" x14ac:dyDescent="0.2">
      <c r="A28" s="6" t="s">
        <v>170</v>
      </c>
      <c r="B28" s="37">
        <v>1927</v>
      </c>
      <c r="C28" s="37">
        <v>1939</v>
      </c>
      <c r="D28" s="37">
        <v>2731</v>
      </c>
      <c r="E28" s="37">
        <v>-9592</v>
      </c>
      <c r="F28" s="59">
        <f t="shared" si="49"/>
        <v>-2995</v>
      </c>
      <c r="G28" s="37">
        <v>4507</v>
      </c>
      <c r="H28" s="37">
        <v>3611</v>
      </c>
      <c r="I28" s="37">
        <v>3505</v>
      </c>
      <c r="J28" s="37">
        <v>3899</v>
      </c>
      <c r="K28" s="59">
        <f t="shared" si="50"/>
        <v>15522</v>
      </c>
      <c r="L28" s="37">
        <v>3997</v>
      </c>
      <c r="M28" s="37">
        <v>4058</v>
      </c>
      <c r="N28" s="37">
        <v>5310</v>
      </c>
      <c r="O28" s="37">
        <v>4746</v>
      </c>
      <c r="P28" s="59">
        <f t="shared" si="51"/>
        <v>18111</v>
      </c>
      <c r="Q28" s="37">
        <v>461</v>
      </c>
      <c r="R28" s="37">
        <v>-524</v>
      </c>
      <c r="S28" s="37">
        <v>1041</v>
      </c>
      <c r="T28" s="37">
        <v>1507</v>
      </c>
      <c r="U28" s="59">
        <f t="shared" si="52"/>
        <v>2485</v>
      </c>
      <c r="V28" s="37">
        <v>1633</v>
      </c>
      <c r="W28" s="37">
        <v>5149</v>
      </c>
      <c r="X28" s="37">
        <v>6558</v>
      </c>
      <c r="Y28" s="37">
        <v>11560</v>
      </c>
      <c r="Z28" s="59">
        <f t="shared" si="53"/>
        <v>24900</v>
      </c>
      <c r="AA28" s="37">
        <v>10522</v>
      </c>
      <c r="AB28" s="37">
        <v>13827</v>
      </c>
      <c r="AC28" s="37">
        <v>14899</v>
      </c>
      <c r="AD28" s="37">
        <v>14327</v>
      </c>
      <c r="AE28" s="59">
        <f t="shared" si="54"/>
        <v>53575</v>
      </c>
      <c r="AF28" s="37">
        <v>13406</v>
      </c>
      <c r="AG28" s="37">
        <v>17119</v>
      </c>
      <c r="AH28" s="37">
        <v>17832</v>
      </c>
      <c r="AI28" s="37">
        <v>13114</v>
      </c>
      <c r="AJ28" s="59">
        <f t="shared" si="55"/>
        <v>61471</v>
      </c>
      <c r="AK28" s="37">
        <v>14536</v>
      </c>
      <c r="AL28" s="37">
        <v>17881</v>
      </c>
      <c r="AM28" s="37">
        <v>17716</v>
      </c>
      <c r="AN28" s="37">
        <v>12388</v>
      </c>
      <c r="AO28" s="59">
        <f t="shared" si="56"/>
        <v>62521</v>
      </c>
      <c r="AP28" s="37">
        <v>17453</v>
      </c>
      <c r="AQ28" s="37">
        <v>20705</v>
      </c>
      <c r="AR28" s="37">
        <v>22547</v>
      </c>
      <c r="AS28" s="37">
        <v>23324</v>
      </c>
      <c r="AT28" s="59">
        <f t="shared" si="57"/>
        <v>84029</v>
      </c>
      <c r="AU28" s="37">
        <v>24577</v>
      </c>
      <c r="AV28" s="37">
        <v>26248</v>
      </c>
      <c r="AW28" s="37">
        <v>26897</v>
      </c>
      <c r="AX28" s="37">
        <v>21869</v>
      </c>
      <c r="AY28" s="59">
        <f t="shared" si="58"/>
        <v>99591</v>
      </c>
      <c r="AZ28" s="37">
        <v>20890</v>
      </c>
      <c r="BA28" s="37">
        <v>28387</v>
      </c>
      <c r="BB28" s="37">
        <v>25426</v>
      </c>
      <c r="BC28" s="37">
        <v>31146</v>
      </c>
      <c r="BD28" s="59">
        <f t="shared" si="59"/>
        <v>105849</v>
      </c>
      <c r="BE28" s="37">
        <v>26328</v>
      </c>
      <c r="BF28" s="37">
        <v>37530</v>
      </c>
      <c r="BG28" s="37">
        <v>44959</v>
      </c>
      <c r="BH28" s="37">
        <v>95466</v>
      </c>
      <c r="BI28" s="59">
        <f t="shared" si="60"/>
        <v>204283</v>
      </c>
      <c r="BJ28" s="37">
        <v>35520</v>
      </c>
      <c r="BK28" s="37">
        <v>41889</v>
      </c>
      <c r="BL28" s="37">
        <v>27418</v>
      </c>
      <c r="BM28" s="37">
        <v>25399</v>
      </c>
      <c r="BN28" s="59">
        <f t="shared" si="61"/>
        <v>130226</v>
      </c>
      <c r="BO28" s="37">
        <v>17342</v>
      </c>
      <c r="BP28" s="37">
        <v>23278</v>
      </c>
      <c r="BQ28" s="37">
        <v>20232</v>
      </c>
      <c r="BR28" s="37">
        <v>7263</v>
      </c>
      <c r="BS28" s="59">
        <f t="shared" si="62"/>
        <v>68115</v>
      </c>
      <c r="BT28" s="37">
        <v>11294</v>
      </c>
      <c r="BU28" s="37">
        <v>11148</v>
      </c>
      <c r="BV28" s="37">
        <v>6992</v>
      </c>
      <c r="BW28" s="37">
        <v>15920</v>
      </c>
      <c r="BX28" s="59">
        <f t="shared" si="63"/>
        <v>45354</v>
      </c>
      <c r="BY28" s="37">
        <v>20378</v>
      </c>
      <c r="BZ28" s="37">
        <v>22196</v>
      </c>
      <c r="CA28" s="37">
        <v>26788</v>
      </c>
      <c r="CB28" s="37">
        <v>19253</v>
      </c>
      <c r="CC28" s="59">
        <f>SUM(BY28:CB28)</f>
        <v>88615</v>
      </c>
      <c r="CD28" s="37">
        <v>23209</v>
      </c>
      <c r="CE28" s="37">
        <v>16139</v>
      </c>
      <c r="CF28" s="37">
        <v>20390</v>
      </c>
      <c r="CG28" s="37">
        <v>12851</v>
      </c>
      <c r="CH28" s="59">
        <f>SUM(CD28:CG28)</f>
        <v>72589</v>
      </c>
      <c r="CI28" s="37">
        <v>23155</v>
      </c>
      <c r="CJ28" s="37">
        <v>19291</v>
      </c>
      <c r="CK28" s="37">
        <v>12826</v>
      </c>
      <c r="CL28" s="37">
        <v>725</v>
      </c>
      <c r="CM28" s="59">
        <f>SUM(CI28:CL28)</f>
        <v>55997</v>
      </c>
      <c r="CN28" s="37">
        <v>9503</v>
      </c>
      <c r="CO28" s="37">
        <v>4858</v>
      </c>
      <c r="CP28" s="37"/>
      <c r="CQ28" s="37"/>
      <c r="CR28" s="59">
        <f>SUM(CN28:CQ28)</f>
        <v>14361</v>
      </c>
    </row>
    <row r="29" spans="1:96" ht="11.15" customHeight="1" x14ac:dyDescent="0.2">
      <c r="A29" s="6"/>
      <c r="B29" s="11"/>
      <c r="C29" s="11"/>
      <c r="D29" s="11"/>
      <c r="E29" s="11"/>
      <c r="F29" s="61"/>
      <c r="G29" s="11"/>
      <c r="H29" s="11"/>
      <c r="I29" s="11"/>
      <c r="J29" s="11"/>
      <c r="K29" s="61"/>
      <c r="L29" s="11"/>
      <c r="M29" s="11"/>
      <c r="N29" s="11"/>
      <c r="O29" s="11"/>
      <c r="P29" s="61"/>
      <c r="Q29" s="11"/>
      <c r="R29" s="11"/>
      <c r="S29" s="11"/>
      <c r="T29" s="11"/>
      <c r="U29" s="61"/>
      <c r="V29" s="11"/>
      <c r="W29" s="11"/>
      <c r="X29" s="11"/>
      <c r="Y29" s="11"/>
      <c r="Z29" s="61"/>
      <c r="AA29" s="11"/>
      <c r="AB29" s="11"/>
      <c r="AC29" s="11"/>
      <c r="AD29" s="11"/>
      <c r="AE29" s="61"/>
      <c r="AF29" s="11"/>
      <c r="AG29" s="11"/>
      <c r="AH29" s="11"/>
      <c r="AI29" s="11"/>
      <c r="AJ29" s="61"/>
      <c r="AK29" s="11"/>
      <c r="AL29" s="11"/>
      <c r="AM29" s="11"/>
      <c r="AN29" s="11"/>
      <c r="AO29" s="61"/>
      <c r="AP29" s="11"/>
      <c r="AQ29" s="11"/>
      <c r="AR29" s="11"/>
      <c r="AS29" s="11"/>
      <c r="AT29" s="61"/>
      <c r="AU29" s="11"/>
      <c r="AV29" s="11"/>
      <c r="AW29" s="11"/>
      <c r="AX29" s="11"/>
      <c r="AY29" s="61"/>
      <c r="AZ29" s="11"/>
      <c r="BA29" s="11"/>
      <c r="BB29" s="11"/>
      <c r="BC29" s="11"/>
      <c r="BD29" s="61"/>
      <c r="BE29" s="11"/>
      <c r="BF29" s="11"/>
      <c r="BG29" s="11"/>
      <c r="BH29" s="11"/>
      <c r="BI29" s="61"/>
      <c r="BJ29" s="11"/>
      <c r="BK29" s="11"/>
      <c r="BL29" s="11"/>
      <c r="BM29" s="11"/>
      <c r="BN29" s="61"/>
      <c r="BO29" s="11"/>
      <c r="BP29" s="11"/>
      <c r="BQ29" s="11"/>
      <c r="BR29" s="11"/>
      <c r="BS29" s="61"/>
      <c r="BT29" s="11"/>
      <c r="BU29" s="11"/>
      <c r="BV29" s="11"/>
      <c r="BW29" s="11"/>
      <c r="BX29" s="61"/>
      <c r="BY29" s="11"/>
      <c r="BZ29" s="11"/>
      <c r="CA29" s="11"/>
      <c r="CB29" s="11"/>
      <c r="CC29" s="61"/>
      <c r="CD29" s="11"/>
      <c r="CE29" s="11"/>
      <c r="CF29" s="11"/>
      <c r="CG29" s="11"/>
      <c r="CH29" s="61"/>
      <c r="CI29" s="11"/>
      <c r="CJ29" s="11"/>
      <c r="CK29" s="11"/>
      <c r="CL29" s="11"/>
      <c r="CM29" s="61"/>
      <c r="CN29" s="11"/>
      <c r="CO29" s="11"/>
      <c r="CP29" s="11"/>
      <c r="CQ29" s="11"/>
      <c r="CR29" s="61"/>
    </row>
    <row r="30" spans="1:96" ht="11.15" customHeight="1" x14ac:dyDescent="0.2">
      <c r="A30" s="13" t="s">
        <v>24</v>
      </c>
      <c r="B30" s="11">
        <f>B27-B28</f>
        <v>3355</v>
      </c>
      <c r="C30" s="11">
        <f t="shared" ref="C30:BM30" si="68">C27-C28</f>
        <v>4893</v>
      </c>
      <c r="D30" s="11">
        <f t="shared" si="68"/>
        <v>5259</v>
      </c>
      <c r="E30" s="11">
        <f t="shared" si="68"/>
        <v>17607</v>
      </c>
      <c r="F30" s="61">
        <f t="shared" si="49"/>
        <v>31114</v>
      </c>
      <c r="G30" s="11">
        <f t="shared" si="68"/>
        <v>6985</v>
      </c>
      <c r="H30" s="11">
        <f t="shared" si="68"/>
        <v>6604</v>
      </c>
      <c r="I30" s="11">
        <f t="shared" si="68"/>
        <v>9816</v>
      </c>
      <c r="J30" s="11">
        <f t="shared" si="68"/>
        <v>8683</v>
      </c>
      <c r="K30" s="61">
        <f t="shared" si="50"/>
        <v>32088</v>
      </c>
      <c r="L30" s="11">
        <f t="shared" si="68"/>
        <v>8495</v>
      </c>
      <c r="M30" s="11">
        <f t="shared" si="68"/>
        <v>9021</v>
      </c>
      <c r="N30" s="11">
        <f t="shared" si="68"/>
        <v>11482</v>
      </c>
      <c r="O30" s="11">
        <f t="shared" si="68"/>
        <v>9455</v>
      </c>
      <c r="P30" s="61">
        <f t="shared" si="51"/>
        <v>38453</v>
      </c>
      <c r="Q30" s="11">
        <f t="shared" si="68"/>
        <v>1026</v>
      </c>
      <c r="R30" s="11">
        <f t="shared" si="68"/>
        <v>-1165</v>
      </c>
      <c r="S30" s="11">
        <f t="shared" si="68"/>
        <v>2266</v>
      </c>
      <c r="T30" s="11">
        <f t="shared" si="68"/>
        <v>3157</v>
      </c>
      <c r="U30" s="61">
        <f t="shared" si="52"/>
        <v>5284</v>
      </c>
      <c r="V30" s="11">
        <f t="shared" si="68"/>
        <v>3424</v>
      </c>
      <c r="W30" s="11">
        <f t="shared" si="68"/>
        <v>10345</v>
      </c>
      <c r="X30" s="11">
        <f t="shared" si="68"/>
        <v>13315</v>
      </c>
      <c r="Y30" s="11">
        <f t="shared" si="68"/>
        <v>27268</v>
      </c>
      <c r="Z30" s="61">
        <f t="shared" si="53"/>
        <v>54352</v>
      </c>
      <c r="AA30" s="11">
        <f t="shared" si="68"/>
        <v>23378</v>
      </c>
      <c r="AB30" s="11">
        <f t="shared" si="68"/>
        <v>31507</v>
      </c>
      <c r="AC30" s="11">
        <f t="shared" si="68"/>
        <v>34269</v>
      </c>
      <c r="AD30" s="11">
        <f t="shared" si="68"/>
        <v>31855</v>
      </c>
      <c r="AE30" s="61">
        <f t="shared" si="54"/>
        <v>121009</v>
      </c>
      <c r="AF30" s="11">
        <f t="shared" si="68"/>
        <v>30548</v>
      </c>
      <c r="AG30" s="11">
        <f t="shared" si="68"/>
        <v>39849</v>
      </c>
      <c r="AH30" s="11">
        <f t="shared" si="68"/>
        <v>42435</v>
      </c>
      <c r="AI30" s="11">
        <f t="shared" si="68"/>
        <v>34912</v>
      </c>
      <c r="AJ30" s="61">
        <f t="shared" si="55"/>
        <v>147744</v>
      </c>
      <c r="AK30" s="11">
        <f t="shared" si="68"/>
        <v>35127</v>
      </c>
      <c r="AL30" s="11">
        <f t="shared" si="68"/>
        <v>41720</v>
      </c>
      <c r="AM30" s="11">
        <f t="shared" si="68"/>
        <v>42338</v>
      </c>
      <c r="AN30" s="11">
        <f t="shared" si="68"/>
        <v>36595</v>
      </c>
      <c r="AO30" s="61">
        <f t="shared" si="56"/>
        <v>155780</v>
      </c>
      <c r="AP30" s="11">
        <f t="shared" si="68"/>
        <v>40531</v>
      </c>
      <c r="AQ30" s="11">
        <f t="shared" si="68"/>
        <v>48283</v>
      </c>
      <c r="AR30" s="11">
        <f t="shared" si="68"/>
        <v>55200</v>
      </c>
      <c r="AS30" s="11">
        <f t="shared" si="68"/>
        <v>56431</v>
      </c>
      <c r="AT30" s="61">
        <f t="shared" si="57"/>
        <v>200445</v>
      </c>
      <c r="AU30" s="11">
        <f t="shared" si="68"/>
        <v>57346</v>
      </c>
      <c r="AV30" s="11">
        <f t="shared" si="68"/>
        <v>61244</v>
      </c>
      <c r="AW30" s="11">
        <f t="shared" si="68"/>
        <v>62757</v>
      </c>
      <c r="AX30" s="11">
        <f t="shared" si="68"/>
        <v>60678</v>
      </c>
      <c r="AY30" s="61">
        <f t="shared" si="58"/>
        <v>242025</v>
      </c>
      <c r="AZ30" s="11">
        <f t="shared" si="68"/>
        <v>49328</v>
      </c>
      <c r="BA30" s="11">
        <f t="shared" si="68"/>
        <v>67032</v>
      </c>
      <c r="BB30" s="11">
        <f t="shared" si="68"/>
        <v>69227</v>
      </c>
      <c r="BC30" s="11">
        <f t="shared" si="68"/>
        <v>75130</v>
      </c>
      <c r="BD30" s="61">
        <f t="shared" si="59"/>
        <v>260717</v>
      </c>
      <c r="BE30" s="11">
        <f t="shared" si="68"/>
        <v>74932</v>
      </c>
      <c r="BF30" s="11">
        <f t="shared" si="68"/>
        <v>104103</v>
      </c>
      <c r="BG30" s="11">
        <f t="shared" si="68"/>
        <v>115597</v>
      </c>
      <c r="BH30" s="11">
        <f t="shared" si="68"/>
        <v>52956</v>
      </c>
      <c r="BI30" s="61">
        <f t="shared" si="60"/>
        <v>347588</v>
      </c>
      <c r="BJ30" s="11">
        <f t="shared" si="68"/>
        <v>106334</v>
      </c>
      <c r="BK30" s="11">
        <f t="shared" si="68"/>
        <v>121617</v>
      </c>
      <c r="BL30" s="11">
        <f t="shared" si="68"/>
        <v>100752</v>
      </c>
      <c r="BM30" s="11">
        <f t="shared" si="68"/>
        <v>75466</v>
      </c>
      <c r="BN30" s="61">
        <f t="shared" si="61"/>
        <v>404169</v>
      </c>
      <c r="BO30" s="11">
        <f t="shared" ref="BO30:BR30" si="69">BO27-BO28</f>
        <v>54916</v>
      </c>
      <c r="BP30" s="11">
        <f t="shared" si="69"/>
        <v>72521</v>
      </c>
      <c r="BQ30" s="11">
        <f t="shared" si="69"/>
        <v>57127</v>
      </c>
      <c r="BR30" s="11">
        <f t="shared" si="69"/>
        <v>-4303</v>
      </c>
      <c r="BS30" s="61">
        <f t="shared" si="62"/>
        <v>180261</v>
      </c>
      <c r="BT30" s="11">
        <f t="shared" ref="BT30:BZ30" si="70">BT27-BT28</f>
        <v>36766</v>
      </c>
      <c r="BU30" s="11">
        <f t="shared" si="70"/>
        <v>38366</v>
      </c>
      <c r="BV30" s="11">
        <f t="shared" si="70"/>
        <v>35530</v>
      </c>
      <c r="BW30" s="11">
        <f t="shared" si="70"/>
        <v>49676</v>
      </c>
      <c r="BX30" s="61">
        <f t="shared" ref="BX30:BX31" si="71">SUM(BT30:BW30)</f>
        <v>160338</v>
      </c>
      <c r="BY30" s="11">
        <f t="shared" si="70"/>
        <v>68222</v>
      </c>
      <c r="BZ30" s="11">
        <f t="shared" si="70"/>
        <v>69677</v>
      </c>
      <c r="CA30" s="11">
        <f t="shared" ref="CA30:CB30" si="72">CA27-CA28</f>
        <v>74699</v>
      </c>
      <c r="CB30" s="11">
        <f t="shared" si="72"/>
        <v>65268</v>
      </c>
      <c r="CC30" s="61">
        <f t="shared" ref="CC30:CC31" si="73">SUM(BY30:CB30)</f>
        <v>277866</v>
      </c>
      <c r="CD30" s="11">
        <f t="shared" ref="CD30" si="74">CD27-CD28</f>
        <v>69628</v>
      </c>
      <c r="CE30" s="11">
        <f>CE27-CE28</f>
        <v>57331</v>
      </c>
      <c r="CF30" s="11">
        <f>CF27-CF28</f>
        <v>76698</v>
      </c>
      <c r="CG30" s="11">
        <f>CG27-CG28</f>
        <v>-92895</v>
      </c>
      <c r="CH30" s="61">
        <f t="shared" ref="CH30:CH31" si="75">SUM(CD30:CG30)</f>
        <v>110762</v>
      </c>
      <c r="CI30" s="11">
        <f>CI27-CI28</f>
        <v>60135</v>
      </c>
      <c r="CJ30" s="11">
        <f>CJ27-CJ28</f>
        <v>62321</v>
      </c>
      <c r="CK30" s="11">
        <f>CK27-CK28</f>
        <v>54994</v>
      </c>
      <c r="CL30" s="11">
        <f>CL27-CL28</f>
        <v>41428</v>
      </c>
      <c r="CM30" s="61">
        <f t="shared" ref="CM30:CM31" si="76">SUM(CI30:CL30)</f>
        <v>218878</v>
      </c>
      <c r="CN30" s="11">
        <f>CN27-CN28</f>
        <v>24099</v>
      </c>
      <c r="CO30" s="11">
        <f>CO27-CO28</f>
        <v>20154</v>
      </c>
      <c r="CP30" s="11"/>
      <c r="CQ30" s="11"/>
      <c r="CR30" s="61">
        <f t="shared" ref="CR30:CR31" si="77">SUM(CN30:CQ30)</f>
        <v>44253</v>
      </c>
    </row>
    <row r="31" spans="1:96" ht="11.15" customHeight="1" x14ac:dyDescent="0.2">
      <c r="A31" s="13" t="s">
        <v>171</v>
      </c>
      <c r="B31" s="36">
        <v>288</v>
      </c>
      <c r="C31" s="36">
        <v>110</v>
      </c>
      <c r="D31" s="36">
        <v>512</v>
      </c>
      <c r="E31" s="36">
        <v>971</v>
      </c>
      <c r="F31" s="61">
        <f t="shared" si="49"/>
        <v>1881</v>
      </c>
      <c r="G31" s="36">
        <v>372</v>
      </c>
      <c r="H31" s="36">
        <v>216</v>
      </c>
      <c r="I31" s="36">
        <v>1259</v>
      </c>
      <c r="J31" s="36">
        <v>346</v>
      </c>
      <c r="K31" s="61">
        <f t="shared" ref="K31" si="78">SUM(G31:J31)</f>
        <v>2193</v>
      </c>
      <c r="L31" s="36">
        <v>346</v>
      </c>
      <c r="M31" s="36">
        <v>469</v>
      </c>
      <c r="N31" s="36">
        <v>589</v>
      </c>
      <c r="O31" s="36">
        <v>395</v>
      </c>
      <c r="P31" s="61">
        <f t="shared" si="3"/>
        <v>1799</v>
      </c>
      <c r="Q31" s="36">
        <v>-245</v>
      </c>
      <c r="R31" s="36">
        <v>64</v>
      </c>
      <c r="S31" s="36">
        <v>11</v>
      </c>
      <c r="T31" s="36">
        <v>35</v>
      </c>
      <c r="U31" s="61">
        <f t="shared" si="4"/>
        <v>-135</v>
      </c>
      <c r="V31" s="36">
        <v>27</v>
      </c>
      <c r="W31" s="36">
        <v>39</v>
      </c>
      <c r="X31" s="36">
        <v>89</v>
      </c>
      <c r="Y31" s="36">
        <v>206</v>
      </c>
      <c r="Z31" s="61">
        <f t="shared" ref="Z31" si="79">SUM(V31:Y31)</f>
        <v>361</v>
      </c>
      <c r="AA31" s="36">
        <v>310</v>
      </c>
      <c r="AB31" s="36">
        <v>771</v>
      </c>
      <c r="AC31" s="36">
        <v>1400</v>
      </c>
      <c r="AD31" s="36">
        <v>769</v>
      </c>
      <c r="AE31" s="61">
        <f t="shared" si="6"/>
        <v>3250</v>
      </c>
      <c r="AF31" s="36">
        <v>633</v>
      </c>
      <c r="AG31" s="36">
        <v>2107</v>
      </c>
      <c r="AH31" s="36">
        <v>0</v>
      </c>
      <c r="AI31" s="36">
        <v>0</v>
      </c>
      <c r="AJ31" s="61">
        <f t="shared" si="7"/>
        <v>2740</v>
      </c>
      <c r="AK31" s="36">
        <v>0</v>
      </c>
      <c r="AL31" s="36">
        <v>0</v>
      </c>
      <c r="AM31" s="36">
        <v>0</v>
      </c>
      <c r="AN31" s="36">
        <v>0</v>
      </c>
      <c r="AO31" s="61">
        <f t="shared" si="8"/>
        <v>0</v>
      </c>
      <c r="AP31" s="36">
        <v>0</v>
      </c>
      <c r="AQ31" s="36">
        <v>0</v>
      </c>
      <c r="AR31" s="36">
        <v>0</v>
      </c>
      <c r="AS31" s="36">
        <v>0</v>
      </c>
      <c r="AT31" s="61">
        <f t="shared" si="9"/>
        <v>0</v>
      </c>
      <c r="AU31" s="36">
        <v>-13</v>
      </c>
      <c r="AV31" s="36">
        <v>-55</v>
      </c>
      <c r="AW31" s="36">
        <v>-34</v>
      </c>
      <c r="AX31" s="36">
        <v>-26</v>
      </c>
      <c r="AY31" s="61">
        <f t="shared" si="10"/>
        <v>-128</v>
      </c>
      <c r="AZ31" s="36">
        <v>2</v>
      </c>
      <c r="BA31" s="36">
        <v>-27</v>
      </c>
      <c r="BB31" s="36">
        <v>-8</v>
      </c>
      <c r="BC31" s="36">
        <v>-3</v>
      </c>
      <c r="BD31" s="61">
        <f t="shared" ref="BD31" si="80">SUM(AZ31:BC31)</f>
        <v>-36</v>
      </c>
      <c r="BE31" s="36">
        <v>-13</v>
      </c>
      <c r="BF31" s="36">
        <v>-13</v>
      </c>
      <c r="BG31" s="36">
        <v>0</v>
      </c>
      <c r="BH31" s="36">
        <v>0</v>
      </c>
      <c r="BI31" s="61">
        <f t="shared" ref="BI31" si="81">SUM(BE31:BH31)</f>
        <v>-26</v>
      </c>
      <c r="BJ31" s="36">
        <v>0</v>
      </c>
      <c r="BK31" s="36">
        <v>0</v>
      </c>
      <c r="BL31" s="36">
        <v>235</v>
      </c>
      <c r="BM31" s="36">
        <v>-93</v>
      </c>
      <c r="BN31" s="61">
        <f t="shared" ref="BN31" si="82">SUM(BJ31:BM31)</f>
        <v>142</v>
      </c>
      <c r="BO31" s="36">
        <v>-243</v>
      </c>
      <c r="BP31" s="36">
        <v>249</v>
      </c>
      <c r="BQ31" s="36">
        <v>-126</v>
      </c>
      <c r="BR31" s="36">
        <v>147</v>
      </c>
      <c r="BS31" s="61">
        <f t="shared" ref="BS31" si="83">SUM(BO31:BR31)</f>
        <v>27</v>
      </c>
      <c r="BT31" s="36">
        <v>363</v>
      </c>
      <c r="BU31" s="36">
        <v>140</v>
      </c>
      <c r="BV31" s="36">
        <v>-74</v>
      </c>
      <c r="BW31" s="36">
        <v>337</v>
      </c>
      <c r="BX31" s="61">
        <f t="shared" si="71"/>
        <v>766</v>
      </c>
      <c r="BY31" s="36">
        <v>95</v>
      </c>
      <c r="BZ31" s="36">
        <v>-123</v>
      </c>
      <c r="CA31" s="36">
        <v>-703</v>
      </c>
      <c r="CB31" s="36">
        <v>181</v>
      </c>
      <c r="CC31" s="61">
        <f t="shared" si="73"/>
        <v>-550</v>
      </c>
      <c r="CD31" s="36">
        <v>56</v>
      </c>
      <c r="CE31" s="36">
        <v>363</v>
      </c>
      <c r="CF31" s="36">
        <v>434</v>
      </c>
      <c r="CG31" s="36">
        <v>0</v>
      </c>
      <c r="CH31" s="61">
        <f t="shared" si="75"/>
        <v>853</v>
      </c>
      <c r="CI31" s="36">
        <v>0</v>
      </c>
      <c r="CJ31" s="36">
        <v>0</v>
      </c>
      <c r="CK31" s="36">
        <v>0</v>
      </c>
      <c r="CL31" s="36">
        <v>0</v>
      </c>
      <c r="CM31" s="61">
        <f t="shared" si="76"/>
        <v>0</v>
      </c>
      <c r="CN31" s="36">
        <v>0</v>
      </c>
      <c r="CO31" s="36">
        <v>0</v>
      </c>
      <c r="CP31" s="36"/>
      <c r="CQ31" s="36"/>
      <c r="CR31" s="61">
        <f t="shared" si="77"/>
        <v>0</v>
      </c>
    </row>
    <row r="32" spans="1:96" ht="11.15" customHeight="1" x14ac:dyDescent="0.2">
      <c r="A32" s="6" t="s">
        <v>172</v>
      </c>
      <c r="B32" s="37">
        <v>518</v>
      </c>
      <c r="C32" s="37">
        <v>518</v>
      </c>
      <c r="D32" s="37">
        <v>518</v>
      </c>
      <c r="E32" s="37">
        <f>440+18267</f>
        <v>18707</v>
      </c>
      <c r="F32" s="59">
        <f>SUM(B32:E32)</f>
        <v>20261</v>
      </c>
      <c r="G32" s="37">
        <v>0</v>
      </c>
      <c r="H32" s="37">
        <v>0</v>
      </c>
      <c r="I32" s="37">
        <v>0</v>
      </c>
      <c r="J32" s="37">
        <v>0</v>
      </c>
      <c r="K32" s="59">
        <f>SUM(G32:J32)</f>
        <v>0</v>
      </c>
      <c r="L32" s="37">
        <v>0</v>
      </c>
      <c r="M32" s="37">
        <v>0</v>
      </c>
      <c r="N32" s="37">
        <v>0</v>
      </c>
      <c r="O32" s="37">
        <v>0</v>
      </c>
      <c r="P32" s="59">
        <f>SUM(L32:O32)</f>
        <v>0</v>
      </c>
      <c r="Q32" s="37">
        <v>0</v>
      </c>
      <c r="R32" s="37">
        <v>0</v>
      </c>
      <c r="S32" s="37">
        <v>0</v>
      </c>
      <c r="T32" s="37">
        <v>0</v>
      </c>
      <c r="U32" s="59">
        <f>SUM(Q32:T32)</f>
        <v>0</v>
      </c>
      <c r="V32" s="37">
        <v>0</v>
      </c>
      <c r="W32" s="37">
        <v>0</v>
      </c>
      <c r="X32" s="37">
        <v>0</v>
      </c>
      <c r="Y32" s="37">
        <v>0</v>
      </c>
      <c r="Z32" s="59">
        <f>SUM(V32:Y32)</f>
        <v>0</v>
      </c>
      <c r="AA32" s="37">
        <v>0</v>
      </c>
      <c r="AB32" s="37">
        <v>0</v>
      </c>
      <c r="AC32" s="37">
        <v>0</v>
      </c>
      <c r="AD32" s="37">
        <v>0</v>
      </c>
      <c r="AE32" s="59">
        <f>SUM(AA32:AD32)</f>
        <v>0</v>
      </c>
      <c r="AF32" s="37">
        <v>0</v>
      </c>
      <c r="AG32" s="37">
        <v>0</v>
      </c>
      <c r="AH32" s="37">
        <v>0</v>
      </c>
      <c r="AI32" s="37">
        <v>0</v>
      </c>
      <c r="AJ32" s="59">
        <f>SUM(AF32:AI32)</f>
        <v>0</v>
      </c>
      <c r="AK32" s="37">
        <v>0</v>
      </c>
      <c r="AL32" s="37">
        <v>0</v>
      </c>
      <c r="AM32" s="37">
        <v>0</v>
      </c>
      <c r="AN32" s="37">
        <v>0</v>
      </c>
      <c r="AO32" s="59">
        <f>SUM(AK32:AN32)</f>
        <v>0</v>
      </c>
      <c r="AP32" s="37">
        <v>0</v>
      </c>
      <c r="AQ32" s="37">
        <v>0</v>
      </c>
      <c r="AR32" s="37">
        <v>0</v>
      </c>
      <c r="AS32" s="37">
        <v>0</v>
      </c>
      <c r="AT32" s="59">
        <f>SUM(AP32:AS32)</f>
        <v>0</v>
      </c>
      <c r="AU32" s="37">
        <v>0</v>
      </c>
      <c r="AV32" s="37">
        <v>0</v>
      </c>
      <c r="AW32" s="37">
        <v>0</v>
      </c>
      <c r="AX32" s="37">
        <v>0</v>
      </c>
      <c r="AY32" s="59">
        <f>SUM(AU32:AX32)</f>
        <v>0</v>
      </c>
      <c r="AZ32" s="37">
        <v>0</v>
      </c>
      <c r="BA32" s="37">
        <v>0</v>
      </c>
      <c r="BB32" s="37">
        <v>0</v>
      </c>
      <c r="BC32" s="37">
        <v>0</v>
      </c>
      <c r="BD32" s="59">
        <f>SUM(AZ32:BC32)</f>
        <v>0</v>
      </c>
      <c r="BE32" s="37">
        <v>0</v>
      </c>
      <c r="BF32" s="37">
        <v>0</v>
      </c>
      <c r="BG32" s="37">
        <v>0</v>
      </c>
      <c r="BH32" s="37">
        <v>0</v>
      </c>
      <c r="BI32" s="59">
        <f>SUM(BE32:BH32)</f>
        <v>0</v>
      </c>
      <c r="BJ32" s="37">
        <v>0</v>
      </c>
      <c r="BK32" s="37">
        <v>0</v>
      </c>
      <c r="BL32" s="37">
        <v>0</v>
      </c>
      <c r="BM32" s="37">
        <v>0</v>
      </c>
      <c r="BN32" s="59">
        <f>SUM(BJ32:BM32)</f>
        <v>0</v>
      </c>
      <c r="BO32" s="37">
        <v>0</v>
      </c>
      <c r="BP32" s="37">
        <v>0</v>
      </c>
      <c r="BQ32" s="37">
        <v>0</v>
      </c>
      <c r="BR32" s="37">
        <v>0</v>
      </c>
      <c r="BS32" s="59">
        <f>SUM(BO32:BR32)</f>
        <v>0</v>
      </c>
      <c r="BT32" s="37">
        <v>0</v>
      </c>
      <c r="BU32" s="37">
        <v>0</v>
      </c>
      <c r="BV32" s="37">
        <v>0</v>
      </c>
      <c r="BW32" s="37">
        <v>0</v>
      </c>
      <c r="BX32" s="59">
        <f>SUM(BT32:BW32)</f>
        <v>0</v>
      </c>
      <c r="BY32" s="37">
        <v>0</v>
      </c>
      <c r="BZ32" s="37">
        <v>0</v>
      </c>
      <c r="CA32" s="37">
        <v>0</v>
      </c>
      <c r="CB32" s="37">
        <v>0</v>
      </c>
      <c r="CC32" s="59">
        <f>SUM(BY32:CB32)</f>
        <v>0</v>
      </c>
      <c r="CD32" s="37">
        <v>0</v>
      </c>
      <c r="CE32" s="37">
        <v>0</v>
      </c>
      <c r="CF32" s="37">
        <v>0</v>
      </c>
      <c r="CG32" s="37">
        <v>0</v>
      </c>
      <c r="CH32" s="59">
        <f>SUM(CD32:CG32)</f>
        <v>0</v>
      </c>
      <c r="CI32" s="37">
        <v>0</v>
      </c>
      <c r="CJ32" s="37">
        <v>0</v>
      </c>
      <c r="CK32" s="37">
        <v>0</v>
      </c>
      <c r="CL32" s="37">
        <v>0</v>
      </c>
      <c r="CM32" s="59">
        <f>SUM(CI32:CL32)</f>
        <v>0</v>
      </c>
      <c r="CN32" s="37">
        <v>0</v>
      </c>
      <c r="CO32" s="37">
        <v>0</v>
      </c>
      <c r="CP32" s="37"/>
      <c r="CQ32" s="37"/>
      <c r="CR32" s="59">
        <f>SUM(CN32:CQ32)</f>
        <v>0</v>
      </c>
    </row>
    <row r="33" spans="1:96" s="2" customFormat="1" ht="11.15" customHeight="1" thickBot="1" x14ac:dyDescent="0.3">
      <c r="A33" s="13" t="s">
        <v>173</v>
      </c>
      <c r="B33" s="14">
        <f t="shared" ref="B33:D33" si="84">B30-B31-B32</f>
        <v>2549</v>
      </c>
      <c r="C33" s="14">
        <f t="shared" si="84"/>
        <v>4265</v>
      </c>
      <c r="D33" s="14">
        <f t="shared" si="84"/>
        <v>4229</v>
      </c>
      <c r="E33" s="14">
        <f>E30-E31-E32</f>
        <v>-2071</v>
      </c>
      <c r="F33" s="62">
        <f t="shared" si="49"/>
        <v>8972</v>
      </c>
      <c r="G33" s="14">
        <f t="shared" ref="G33" si="85">G30-G31-G32</f>
        <v>6613</v>
      </c>
      <c r="H33" s="14">
        <f t="shared" ref="H33" si="86">H30-H31-H32</f>
        <v>6388</v>
      </c>
      <c r="I33" s="14">
        <f t="shared" ref="I33" si="87">I30-I31-I32</f>
        <v>8557</v>
      </c>
      <c r="J33" s="14">
        <f>J30-J31-J32</f>
        <v>8337</v>
      </c>
      <c r="K33" s="62">
        <f t="shared" ref="K33" si="88">SUM(G33:J33)</f>
        <v>29895</v>
      </c>
      <c r="L33" s="14">
        <f t="shared" ref="L33" si="89">L30-L31-L32</f>
        <v>8149</v>
      </c>
      <c r="M33" s="14">
        <f t="shared" ref="M33" si="90">M30-M31-M32</f>
        <v>8552</v>
      </c>
      <c r="N33" s="14">
        <f t="shared" ref="N33" si="91">N30-N31-N32</f>
        <v>10893</v>
      </c>
      <c r="O33" s="14">
        <f>O30-O31-O32</f>
        <v>9060</v>
      </c>
      <c r="P33" s="62">
        <f t="shared" ref="P33" si="92">SUM(L33:O33)</f>
        <v>36654</v>
      </c>
      <c r="Q33" s="14">
        <f t="shared" ref="Q33" si="93">Q30-Q31-Q32</f>
        <v>1271</v>
      </c>
      <c r="R33" s="14">
        <f t="shared" ref="R33" si="94">R30-R31-R32</f>
        <v>-1229</v>
      </c>
      <c r="S33" s="14">
        <f t="shared" ref="S33" si="95">S30-S31-S32</f>
        <v>2255</v>
      </c>
      <c r="T33" s="14">
        <f>T30-T31-T32</f>
        <v>3122</v>
      </c>
      <c r="U33" s="62">
        <f t="shared" ref="U33" si="96">SUM(Q33:T33)</f>
        <v>5419</v>
      </c>
      <c r="V33" s="14">
        <f t="shared" ref="V33" si="97">V30-V31-V32</f>
        <v>3397</v>
      </c>
      <c r="W33" s="14">
        <f t="shared" ref="W33" si="98">W30-W31-W32</f>
        <v>10306</v>
      </c>
      <c r="X33" s="14">
        <f t="shared" ref="X33" si="99">X30-X31-X32</f>
        <v>13226</v>
      </c>
      <c r="Y33" s="14">
        <f>Y30-Y31-Y32</f>
        <v>27062</v>
      </c>
      <c r="Z33" s="62">
        <f t="shared" ref="Z33" si="100">SUM(V33:Y33)</f>
        <v>53991</v>
      </c>
      <c r="AA33" s="14">
        <f t="shared" ref="AA33" si="101">AA30-AA31-AA32</f>
        <v>23068</v>
      </c>
      <c r="AB33" s="14">
        <f t="shared" ref="AB33" si="102">AB30-AB31-AB32</f>
        <v>30736</v>
      </c>
      <c r="AC33" s="14">
        <f t="shared" ref="AC33" si="103">AC30-AC31-AC32</f>
        <v>32869</v>
      </c>
      <c r="AD33" s="14">
        <f>AD30-AD31-AD32</f>
        <v>31086</v>
      </c>
      <c r="AE33" s="62">
        <f t="shared" ref="AE33" si="104">SUM(AA33:AD33)</f>
        <v>117759</v>
      </c>
      <c r="AF33" s="14">
        <f t="shared" ref="AF33" si="105">AF30-AF31-AF32</f>
        <v>29915</v>
      </c>
      <c r="AG33" s="14">
        <f t="shared" ref="AG33" si="106">AG30-AG31-AG32</f>
        <v>37742</v>
      </c>
      <c r="AH33" s="14">
        <f t="shared" ref="AH33" si="107">AH30-AH31-AH32</f>
        <v>42435</v>
      </c>
      <c r="AI33" s="14">
        <f>AI30-AI31-AI32</f>
        <v>34912</v>
      </c>
      <c r="AJ33" s="62">
        <f t="shared" ref="AJ33" si="108">SUM(AF33:AI33)</f>
        <v>145004</v>
      </c>
      <c r="AK33" s="14">
        <f t="shared" ref="AK33" si="109">AK30-AK31-AK32</f>
        <v>35127</v>
      </c>
      <c r="AL33" s="14">
        <f t="shared" ref="AL33" si="110">AL30-AL31-AL32</f>
        <v>41720</v>
      </c>
      <c r="AM33" s="14">
        <f t="shared" ref="AM33" si="111">AM30-AM31-AM32</f>
        <v>42338</v>
      </c>
      <c r="AN33" s="14">
        <f>AN30-AN31-AN32</f>
        <v>36595</v>
      </c>
      <c r="AO33" s="62">
        <f t="shared" ref="AO33" si="112">SUM(AK33:AN33)</f>
        <v>155780</v>
      </c>
      <c r="AP33" s="14">
        <f t="shared" ref="AP33" si="113">AP30-AP31-AP32</f>
        <v>40531</v>
      </c>
      <c r="AQ33" s="14">
        <f t="shared" ref="AQ33" si="114">AQ30-AQ31-AQ32</f>
        <v>48283</v>
      </c>
      <c r="AR33" s="14">
        <f t="shared" ref="AR33" si="115">AR30-AR31-AR32</f>
        <v>55200</v>
      </c>
      <c r="AS33" s="14">
        <f>AS30-AS31-AS32</f>
        <v>56431</v>
      </c>
      <c r="AT33" s="62">
        <f t="shared" ref="AT33" si="116">SUM(AP33:AS33)</f>
        <v>200445</v>
      </c>
      <c r="AU33" s="14">
        <f t="shared" ref="AU33" si="117">AU30-AU31-AU32</f>
        <v>57359</v>
      </c>
      <c r="AV33" s="14">
        <f t="shared" ref="AV33" si="118">AV30-AV31-AV32</f>
        <v>61299</v>
      </c>
      <c r="AW33" s="14">
        <f t="shared" ref="AW33" si="119">AW30-AW31-AW32</f>
        <v>62791</v>
      </c>
      <c r="AX33" s="14">
        <f>AX30-AX31-AX32</f>
        <v>60704</v>
      </c>
      <c r="AY33" s="62">
        <f t="shared" ref="AY33" si="120">SUM(AU33:AX33)</f>
        <v>242153</v>
      </c>
      <c r="AZ33" s="14">
        <f t="shared" ref="AZ33" si="121">AZ30-AZ31-AZ32</f>
        <v>49326</v>
      </c>
      <c r="BA33" s="14">
        <f t="shared" ref="BA33" si="122">BA30-BA31-BA32</f>
        <v>67059</v>
      </c>
      <c r="BB33" s="14">
        <f t="shared" ref="BB33" si="123">BB30-BB31-BB32</f>
        <v>69235</v>
      </c>
      <c r="BC33" s="14">
        <f>BC30-BC31-BC32</f>
        <v>75133</v>
      </c>
      <c r="BD33" s="62">
        <f t="shared" ref="BD33" si="124">SUM(AZ33:BC33)</f>
        <v>260753</v>
      </c>
      <c r="BE33" s="14">
        <f t="shared" ref="BE33:BH33" si="125">BE30-BE31-BE32</f>
        <v>74945</v>
      </c>
      <c r="BF33" s="14">
        <v>104116</v>
      </c>
      <c r="BG33" s="14">
        <f t="shared" si="125"/>
        <v>115597</v>
      </c>
      <c r="BH33" s="14">
        <f t="shared" si="125"/>
        <v>52956</v>
      </c>
      <c r="BI33" s="62">
        <f t="shared" ref="BI33" si="126">SUM(BE33:BH33)</f>
        <v>347614</v>
      </c>
      <c r="BJ33" s="14">
        <f t="shared" ref="BJ33:BK33" si="127">BJ30-BJ31-BJ32</f>
        <v>106334</v>
      </c>
      <c r="BK33" s="14">
        <f t="shared" si="127"/>
        <v>121617</v>
      </c>
      <c r="BL33" s="14">
        <f t="shared" ref="BL33" si="128">BL30-BL31-BL32</f>
        <v>100517</v>
      </c>
      <c r="BM33" s="14">
        <f t="shared" ref="BM33:BO33" si="129">BM30-BM31-BM32</f>
        <v>75559</v>
      </c>
      <c r="BN33" s="62">
        <f t="shared" ref="BN33" si="130">SUM(BJ33:BM33)</f>
        <v>404027</v>
      </c>
      <c r="BO33" s="14">
        <f t="shared" si="129"/>
        <v>55159</v>
      </c>
      <c r="BP33" s="14">
        <f t="shared" ref="BP33:BR33" si="131">BP30-BP31-BP32</f>
        <v>72272</v>
      </c>
      <c r="BQ33" s="14">
        <f t="shared" si="131"/>
        <v>57253</v>
      </c>
      <c r="BR33" s="14">
        <f t="shared" si="131"/>
        <v>-4450</v>
      </c>
      <c r="BS33" s="62">
        <f t="shared" ref="BS33" si="132">SUM(BO33:BR33)</f>
        <v>180234</v>
      </c>
      <c r="BT33" s="14">
        <f t="shared" ref="BT33:BZ33" si="133">BT30-BT31-BT32</f>
        <v>36403</v>
      </c>
      <c r="BU33" s="14">
        <f t="shared" si="133"/>
        <v>38226</v>
      </c>
      <c r="BV33" s="14">
        <f t="shared" si="133"/>
        <v>35604</v>
      </c>
      <c r="BW33" s="14">
        <f t="shared" si="133"/>
        <v>49339</v>
      </c>
      <c r="BX33" s="62">
        <f t="shared" ref="BX33" si="134">SUM(BT33:BW33)</f>
        <v>159572</v>
      </c>
      <c r="BY33" s="14">
        <f t="shared" si="133"/>
        <v>68127</v>
      </c>
      <c r="BZ33" s="14">
        <f t="shared" si="133"/>
        <v>69800</v>
      </c>
      <c r="CA33" s="14">
        <f t="shared" ref="CA33:CB33" si="135">CA30-CA31-CA32</f>
        <v>75402</v>
      </c>
      <c r="CB33" s="14">
        <f t="shared" si="135"/>
        <v>65087</v>
      </c>
      <c r="CC33" s="62">
        <f t="shared" ref="CC33" si="136">SUM(BY33:CB33)</f>
        <v>278416</v>
      </c>
      <c r="CD33" s="14">
        <f>CD30-CD31-CD32</f>
        <v>69572</v>
      </c>
      <c r="CE33" s="14">
        <f>CE30-CE31-CE32</f>
        <v>56968</v>
      </c>
      <c r="CF33" s="14">
        <f>CF30-CF31-CF32</f>
        <v>76264</v>
      </c>
      <c r="CG33" s="14">
        <f>CG30-CG31-CG32</f>
        <v>-92895</v>
      </c>
      <c r="CH33" s="62">
        <f>SUM(CD33:CG33)</f>
        <v>109909</v>
      </c>
      <c r="CI33" s="14">
        <f>CI30-CI31-CI32</f>
        <v>60135</v>
      </c>
      <c r="CJ33" s="14">
        <f>CJ30-CJ31-CJ32</f>
        <v>62321</v>
      </c>
      <c r="CK33" s="14">
        <f>CK30-CK31-CK32</f>
        <v>54994</v>
      </c>
      <c r="CL33" s="14">
        <f>CL30-CL31-CL32</f>
        <v>41428</v>
      </c>
      <c r="CM33" s="62">
        <f>SUM(CI33:CL33)</f>
        <v>218878</v>
      </c>
      <c r="CN33" s="14">
        <f>CN30-CN31-CN32</f>
        <v>24099</v>
      </c>
      <c r="CO33" s="14">
        <f>CO30-CO31-CO32</f>
        <v>20154</v>
      </c>
      <c r="CP33" s="14"/>
      <c r="CQ33" s="14"/>
      <c r="CR33" s="62">
        <f>SUM(CN33:CQ33)</f>
        <v>44253</v>
      </c>
    </row>
    <row r="34" spans="1:96" ht="11.15" customHeight="1" thickTop="1" x14ac:dyDescent="0.35">
      <c r="A34" s="6"/>
      <c r="B34" s="15"/>
      <c r="C34" s="15"/>
      <c r="D34" s="15"/>
      <c r="E34" s="15"/>
      <c r="F34" s="63"/>
      <c r="G34" s="15"/>
      <c r="H34" s="15"/>
      <c r="I34" s="15"/>
      <c r="J34" s="15"/>
      <c r="K34" s="63"/>
      <c r="L34" s="15"/>
      <c r="M34" s="15"/>
      <c r="N34" s="15"/>
      <c r="O34" s="15"/>
      <c r="P34" s="63"/>
      <c r="Q34" s="15"/>
      <c r="R34" s="15"/>
      <c r="S34" s="15"/>
      <c r="T34" s="15"/>
      <c r="U34" s="63"/>
      <c r="V34" s="15"/>
      <c r="W34" s="15"/>
      <c r="X34" s="15"/>
      <c r="Y34" s="15"/>
      <c r="Z34" s="63"/>
      <c r="AA34" s="15"/>
      <c r="AB34" s="15"/>
      <c r="AC34" s="15"/>
      <c r="AD34" s="15"/>
      <c r="AE34" s="63"/>
      <c r="AF34" s="15"/>
      <c r="AG34" s="15"/>
      <c r="AH34" s="15"/>
      <c r="AI34" s="15"/>
      <c r="AJ34" s="63"/>
      <c r="AK34" s="15"/>
      <c r="AL34" s="15"/>
      <c r="AM34" s="15"/>
      <c r="AN34" s="15"/>
      <c r="AO34" s="63"/>
      <c r="AP34" s="15"/>
      <c r="AQ34" s="15"/>
      <c r="AR34" s="15"/>
      <c r="AS34" s="15"/>
      <c r="AT34" s="63"/>
      <c r="AU34" s="15"/>
      <c r="AV34" s="15"/>
      <c r="AW34" s="15"/>
      <c r="AX34" s="15"/>
      <c r="AY34" s="63"/>
      <c r="AZ34" s="15"/>
      <c r="BA34" s="15"/>
      <c r="BB34" s="15"/>
      <c r="BC34" s="15"/>
      <c r="BD34" s="63"/>
      <c r="BE34" s="15"/>
      <c r="BF34" s="15"/>
      <c r="BG34" s="15"/>
      <c r="BH34" s="15"/>
      <c r="BI34" s="63"/>
      <c r="BJ34" s="15"/>
      <c r="BK34" s="15"/>
      <c r="BL34" s="15"/>
      <c r="BM34" s="15"/>
      <c r="BN34" s="63"/>
      <c r="BO34" s="15"/>
      <c r="BP34" s="15"/>
      <c r="BQ34" s="15"/>
      <c r="BR34" s="15"/>
      <c r="BS34" s="63"/>
      <c r="BT34" s="15"/>
      <c r="BU34" s="15"/>
      <c r="BV34" s="15"/>
      <c r="BW34" s="15"/>
      <c r="BX34" s="63"/>
      <c r="BY34" s="15"/>
      <c r="BZ34" s="15"/>
      <c r="CA34" s="15"/>
      <c r="CB34" s="15"/>
      <c r="CC34" s="63"/>
      <c r="CD34" s="15"/>
      <c r="CE34" s="15"/>
      <c r="CF34" s="15"/>
      <c r="CG34" s="15"/>
      <c r="CH34" s="63"/>
      <c r="CI34" s="15"/>
      <c r="CJ34" s="15"/>
      <c r="CK34" s="15"/>
      <c r="CL34" s="15"/>
      <c r="CM34" s="63"/>
      <c r="CN34" s="15"/>
      <c r="CO34" s="15"/>
      <c r="CP34" s="15"/>
      <c r="CQ34" s="15"/>
      <c r="CR34" s="63"/>
    </row>
    <row r="35" spans="1:96" ht="11.15" customHeight="1" x14ac:dyDescent="0.2">
      <c r="A35" s="6" t="s">
        <v>174</v>
      </c>
      <c r="B35" s="16"/>
      <c r="C35" s="16"/>
      <c r="D35" s="16"/>
      <c r="E35" s="16"/>
      <c r="F35" s="64"/>
      <c r="G35" s="16"/>
      <c r="H35" s="16"/>
      <c r="I35" s="16"/>
      <c r="J35" s="16"/>
      <c r="K35" s="64"/>
      <c r="L35" s="16"/>
      <c r="M35" s="16"/>
      <c r="N35" s="16"/>
      <c r="O35" s="16"/>
      <c r="P35" s="64"/>
      <c r="Q35" s="16"/>
      <c r="R35" s="16"/>
      <c r="S35" s="16"/>
      <c r="T35" s="16"/>
      <c r="U35" s="64"/>
      <c r="V35" s="16"/>
      <c r="W35" s="16"/>
      <c r="X35" s="16"/>
      <c r="Y35" s="16"/>
      <c r="Z35" s="64"/>
      <c r="AA35" s="16"/>
      <c r="AB35" s="16"/>
      <c r="AC35" s="16"/>
      <c r="AD35" s="16"/>
      <c r="AE35" s="64"/>
      <c r="AF35" s="16"/>
      <c r="AG35" s="16"/>
      <c r="AH35" s="16"/>
      <c r="AI35" s="16"/>
      <c r="AJ35" s="64"/>
      <c r="AK35" s="16"/>
      <c r="AL35" s="16"/>
      <c r="AM35" s="16"/>
      <c r="AN35" s="16"/>
      <c r="AO35" s="64"/>
      <c r="AP35" s="16"/>
      <c r="AQ35" s="16"/>
      <c r="AR35" s="16"/>
      <c r="AS35" s="16"/>
      <c r="AT35" s="64"/>
      <c r="AU35" s="16"/>
      <c r="AV35" s="16"/>
      <c r="AW35" s="16"/>
      <c r="AX35" s="16"/>
      <c r="AY35" s="64"/>
      <c r="AZ35" s="16"/>
      <c r="BA35" s="16"/>
      <c r="BB35" s="16"/>
      <c r="BC35" s="16"/>
      <c r="BD35" s="64"/>
      <c r="BE35" s="16"/>
      <c r="BF35" s="16"/>
      <c r="BG35" s="16"/>
      <c r="BH35" s="16"/>
      <c r="BI35" s="64"/>
      <c r="BJ35" s="16"/>
      <c r="BK35" s="16"/>
      <c r="BL35" s="16"/>
      <c r="BM35" s="16"/>
      <c r="BN35" s="64"/>
      <c r="BO35" s="16"/>
      <c r="BP35" s="16"/>
      <c r="BQ35" s="16"/>
      <c r="BR35" s="16"/>
      <c r="BS35" s="64"/>
      <c r="BT35" s="16"/>
      <c r="BU35" s="16"/>
      <c r="BV35" s="16"/>
      <c r="BW35" s="16"/>
      <c r="BX35" s="64"/>
      <c r="BY35" s="16"/>
      <c r="BZ35" s="16"/>
      <c r="CA35" s="16"/>
      <c r="CB35" s="16"/>
      <c r="CC35" s="64"/>
      <c r="CD35" s="16"/>
      <c r="CE35" s="16"/>
      <c r="CF35" s="16"/>
      <c r="CG35" s="16"/>
      <c r="CH35" s="64"/>
      <c r="CI35" s="16"/>
      <c r="CJ35" s="16"/>
      <c r="CK35" s="16"/>
      <c r="CL35" s="16"/>
      <c r="CM35" s="64"/>
      <c r="CN35" s="16"/>
      <c r="CO35" s="16"/>
      <c r="CP35" s="16"/>
      <c r="CQ35" s="16"/>
      <c r="CR35" s="64"/>
    </row>
    <row r="36" spans="1:96" ht="11.15" customHeight="1" x14ac:dyDescent="0.2">
      <c r="A36" s="7" t="s">
        <v>48</v>
      </c>
      <c r="B36" s="16">
        <f>ROUND(B33/B40,2)</f>
        <v>7.0000000000000007E-2</v>
      </c>
      <c r="C36" s="16">
        <f t="shared" ref="C36:F36" si="137">ROUND(C33/C40,2)</f>
        <v>0.12</v>
      </c>
      <c r="D36" s="16">
        <f t="shared" si="137"/>
        <v>0.12</v>
      </c>
      <c r="E36" s="16">
        <f t="shared" si="137"/>
        <v>-0.05</v>
      </c>
      <c r="F36" s="64">
        <f t="shared" si="137"/>
        <v>0.24</v>
      </c>
      <c r="G36" s="16">
        <f>ROUND(G33/G40,2)</f>
        <v>0.15</v>
      </c>
      <c r="H36" s="16">
        <f t="shared" ref="H36:K36" si="138">ROUND(H33/H40,2)</f>
        <v>0.15</v>
      </c>
      <c r="I36" s="16">
        <f t="shared" si="138"/>
        <v>0.2</v>
      </c>
      <c r="J36" s="16">
        <f t="shared" si="138"/>
        <v>0.19</v>
      </c>
      <c r="K36" s="64">
        <f t="shared" si="138"/>
        <v>0.69</v>
      </c>
      <c r="L36" s="16">
        <f>ROUND(L33/L40,2)</f>
        <v>0.18</v>
      </c>
      <c r="M36" s="16">
        <f t="shared" ref="M36:P36" si="139">ROUND(M33/M40,2)</f>
        <v>0.19</v>
      </c>
      <c r="N36" s="16">
        <f t="shared" si="139"/>
        <v>0.24</v>
      </c>
      <c r="O36" s="16">
        <f t="shared" si="139"/>
        <v>0.2</v>
      </c>
      <c r="P36" s="64">
        <f t="shared" si="139"/>
        <v>0.82</v>
      </c>
      <c r="Q36" s="16">
        <f>ROUND(Q33/Q40,2)</f>
        <v>0.03</v>
      </c>
      <c r="R36" s="16">
        <f t="shared" ref="R36:T36" si="140">ROUND(R33/R40,2)</f>
        <v>-0.03</v>
      </c>
      <c r="S36" s="16">
        <f t="shared" si="140"/>
        <v>0.05</v>
      </c>
      <c r="T36" s="16">
        <f t="shared" si="140"/>
        <v>7.0000000000000007E-2</v>
      </c>
      <c r="U36" s="64">
        <f t="shared" ref="U36" si="141">ROUND(U33/U40,2)</f>
        <v>0.12</v>
      </c>
      <c r="V36" s="16">
        <f>ROUND(V33/V40,2)</f>
        <v>7.0000000000000007E-2</v>
      </c>
      <c r="W36" s="16">
        <f t="shared" ref="W36:Z36" si="142">ROUND(W33/W40,2)</f>
        <v>0.22</v>
      </c>
      <c r="X36" s="16">
        <f t="shared" si="142"/>
        <v>0.28000000000000003</v>
      </c>
      <c r="Y36" s="16">
        <f t="shared" si="142"/>
        <v>0.57999999999999996</v>
      </c>
      <c r="Z36" s="64">
        <f t="shared" si="142"/>
        <v>1.1599999999999999</v>
      </c>
      <c r="AA36" s="16">
        <f>ROUND(AA33/AA40,2)</f>
        <v>0.49</v>
      </c>
      <c r="AB36" s="16">
        <f t="shared" ref="AB36:AE36" si="143">ROUND(AB33/AB40,2)</f>
        <v>0.65</v>
      </c>
      <c r="AC36" s="16">
        <f t="shared" si="143"/>
        <v>0.69</v>
      </c>
      <c r="AD36" s="16">
        <f t="shared" si="143"/>
        <v>0.65</v>
      </c>
      <c r="AE36" s="64">
        <f t="shared" si="143"/>
        <v>2.4900000000000002</v>
      </c>
      <c r="AF36" s="16">
        <f>ROUND(AF33/AF40,2)</f>
        <v>0.62</v>
      </c>
      <c r="AG36" s="16">
        <f t="shared" ref="AG36:AJ36" si="144">ROUND(AG33/AG40,2)</f>
        <v>0.74</v>
      </c>
      <c r="AH36" s="16">
        <f t="shared" si="144"/>
        <v>0.83</v>
      </c>
      <c r="AI36" s="16">
        <f t="shared" si="144"/>
        <v>0.68</v>
      </c>
      <c r="AJ36" s="64">
        <f t="shared" si="144"/>
        <v>2.87</v>
      </c>
      <c r="AK36" s="16">
        <f>ROUND(AK33/AK40,2)</f>
        <v>0.68</v>
      </c>
      <c r="AL36" s="16">
        <f t="shared" ref="AL36:AO36" si="145">ROUND(AL33/AL40,2)</f>
        <v>0.81</v>
      </c>
      <c r="AM36" s="16">
        <f t="shared" si="145"/>
        <v>0.82</v>
      </c>
      <c r="AN36" s="16">
        <f t="shared" si="145"/>
        <v>0.71</v>
      </c>
      <c r="AO36" s="64">
        <f t="shared" si="145"/>
        <v>3.02</v>
      </c>
      <c r="AP36" s="16">
        <f>ROUND(AP33/AP40,2)</f>
        <v>0.78</v>
      </c>
      <c r="AQ36" s="16">
        <f t="shared" ref="AQ36:AT36" si="146">ROUND(AQ33/AQ40,2)</f>
        <v>0.93</v>
      </c>
      <c r="AR36" s="16">
        <f t="shared" si="146"/>
        <v>1.06</v>
      </c>
      <c r="AS36" s="16">
        <f t="shared" si="146"/>
        <v>1.08</v>
      </c>
      <c r="AT36" s="64">
        <f t="shared" si="146"/>
        <v>3.85</v>
      </c>
      <c r="AU36" s="16">
        <f>ROUND(AU33/AU40,2)</f>
        <v>1.0900000000000001</v>
      </c>
      <c r="AV36" s="16">
        <f t="shared" ref="AV36:AY36" si="147">ROUND(AV33/AV40,2)</f>
        <v>1.1599999999999999</v>
      </c>
      <c r="AW36" s="16">
        <f t="shared" si="147"/>
        <v>1.19</v>
      </c>
      <c r="AX36" s="16">
        <f t="shared" si="147"/>
        <v>1.1499999999999999</v>
      </c>
      <c r="AY36" s="64">
        <f t="shared" si="147"/>
        <v>4.5999999999999996</v>
      </c>
      <c r="AZ36" s="16">
        <f>ROUND(AZ33/AZ40,2)</f>
        <v>0.93</v>
      </c>
      <c r="BA36" s="16">
        <f t="shared" ref="BA36:BD36" si="148">ROUND(BA33/BA40,2)</f>
        <v>1.26</v>
      </c>
      <c r="BB36" s="16">
        <f t="shared" si="148"/>
        <v>1.3</v>
      </c>
      <c r="BC36" s="16">
        <f t="shared" si="148"/>
        <v>1.42</v>
      </c>
      <c r="BD36" s="64">
        <f t="shared" si="148"/>
        <v>4.91</v>
      </c>
      <c r="BE36" s="16">
        <f>ROUND(BE33/BE40,2)</f>
        <v>1.4</v>
      </c>
      <c r="BF36" s="16">
        <f>ROUND(BF33/BF40,2)</f>
        <v>1.95</v>
      </c>
      <c r="BG36" s="16">
        <f>ROUND(BG33/BG40,2)</f>
        <v>2.16</v>
      </c>
      <c r="BH36" s="16">
        <f>ROUND(BH33/BH40,2)</f>
        <v>0.99</v>
      </c>
      <c r="BI36" s="64">
        <f t="shared" ref="BI36" si="149">ROUND(BI33/BI40,2)</f>
        <v>6.5</v>
      </c>
      <c r="BJ36" s="16">
        <f>ROUND(BJ33/BJ40,2)</f>
        <v>1.98</v>
      </c>
      <c r="BK36" s="16">
        <f>ROUND(BK33/BK40,2)</f>
        <v>2.27</v>
      </c>
      <c r="BL36" s="16">
        <f>ROUND(BL33/BL40,2)</f>
        <v>1.88</v>
      </c>
      <c r="BM36" s="16">
        <f>ROUND(BM33/BM40,2)</f>
        <v>1.42</v>
      </c>
      <c r="BN36" s="64">
        <f t="shared" ref="BN36" si="150">ROUND(BN33/BN40,2)</f>
        <v>7.55</v>
      </c>
      <c r="BO36" s="16">
        <f>ROUND(BO33/BO40,2)</f>
        <v>1.04</v>
      </c>
      <c r="BP36" s="16">
        <f>ROUND(BP33/BP40,2)</f>
        <v>1.36</v>
      </c>
      <c r="BQ36" s="16">
        <f>ROUND(BQ33/BQ40,2)</f>
        <v>1.08</v>
      </c>
      <c r="BR36" s="16">
        <f>ROUND(BR33/BR40,2)</f>
        <v>-0.08</v>
      </c>
      <c r="BS36" s="64">
        <f t="shared" ref="BS36" si="151">ROUND(BS33/BS40,2)</f>
        <v>3.4</v>
      </c>
      <c r="BT36" s="16">
        <f>ROUND(BT33/BT40,2)</f>
        <v>0.69</v>
      </c>
      <c r="BU36" s="16">
        <f>ROUND(BU33/BU40,2)</f>
        <v>0.72</v>
      </c>
      <c r="BV36" s="16">
        <f>ROUND(BV33/BV40,2)</f>
        <v>0.67</v>
      </c>
      <c r="BW36" s="16">
        <v>0.92</v>
      </c>
      <c r="BX36" s="64">
        <f t="shared" ref="BX36:CB36" si="152">ROUND(BX33/BX40,2)</f>
        <v>3</v>
      </c>
      <c r="BY36" s="16">
        <f t="shared" si="152"/>
        <v>1.27</v>
      </c>
      <c r="BZ36" s="16">
        <f t="shared" si="152"/>
        <v>1.31</v>
      </c>
      <c r="CA36" s="16">
        <f t="shared" si="152"/>
        <v>1.41</v>
      </c>
      <c r="CB36" s="16">
        <f t="shared" si="152"/>
        <v>1.22</v>
      </c>
      <c r="CC36" s="64">
        <f t="shared" ref="CC36" si="153">ROUND(CC33/CC40,2)</f>
        <v>5.21</v>
      </c>
      <c r="CD36" s="16">
        <f t="shared" ref="CD36:CG36" si="154">ROUND(CD33/CD40,2)</f>
        <v>1.32</v>
      </c>
      <c r="CE36" s="16">
        <f t="shared" si="154"/>
        <v>1.1000000000000001</v>
      </c>
      <c r="CF36" s="16">
        <f t="shared" si="154"/>
        <v>1.48</v>
      </c>
      <c r="CG36" s="16">
        <f t="shared" si="154"/>
        <v>-1.91</v>
      </c>
      <c r="CH36" s="64">
        <f t="shared" ref="CH36:CM36" si="155">ROUND(CH33/CH40,2)</f>
        <v>2.17</v>
      </c>
      <c r="CI36" s="16">
        <f t="shared" si="155"/>
        <v>1.26</v>
      </c>
      <c r="CJ36" s="16">
        <f t="shared" si="155"/>
        <v>1.32</v>
      </c>
      <c r="CK36" s="16">
        <f t="shared" si="155"/>
        <v>1.1599999999999999</v>
      </c>
      <c r="CL36" s="16">
        <f t="shared" ref="CL36" si="156">ROUND(CL33/CL40,2)</f>
        <v>0.89</v>
      </c>
      <c r="CM36" s="64">
        <f t="shared" si="155"/>
        <v>4.6399999999999997</v>
      </c>
      <c r="CN36" s="16">
        <f>ROUND(CN33/CN40,2)</f>
        <v>0.52</v>
      </c>
      <c r="CO36" s="16">
        <f>ROUND(CO33/CO40,2)</f>
        <v>0.45</v>
      </c>
      <c r="CP36" s="16"/>
      <c r="CQ36" s="16"/>
      <c r="CR36" s="64">
        <f t="shared" ref="CR36" si="157">ROUND(CR33/CR40,2)</f>
        <v>0.97</v>
      </c>
    </row>
    <row r="37" spans="1:96" ht="11.15" customHeight="1" x14ac:dyDescent="0.2">
      <c r="A37" s="7" t="s">
        <v>49</v>
      </c>
      <c r="B37" s="16">
        <f>ROUND(B33/B41,2)</f>
        <v>7.0000000000000007E-2</v>
      </c>
      <c r="C37" s="16">
        <f t="shared" ref="C37:F37" si="158">ROUND(C33/C41,2)</f>
        <v>0.11</v>
      </c>
      <c r="D37" s="16">
        <f t="shared" si="158"/>
        <v>0.11</v>
      </c>
      <c r="E37" s="16">
        <f t="shared" si="158"/>
        <v>-0.05</v>
      </c>
      <c r="F37" s="64">
        <f t="shared" si="158"/>
        <v>0.23</v>
      </c>
      <c r="G37" s="16">
        <f>ROUND(G33/G41,2)</f>
        <v>0.15</v>
      </c>
      <c r="H37" s="16">
        <f t="shared" ref="H37:K37" si="159">ROUND(H33/H41,2)</f>
        <v>0.14000000000000001</v>
      </c>
      <c r="I37" s="16">
        <f t="shared" si="159"/>
        <v>0.19</v>
      </c>
      <c r="J37" s="16">
        <f t="shared" si="159"/>
        <v>0.18</v>
      </c>
      <c r="K37" s="64">
        <f t="shared" si="159"/>
        <v>0.65</v>
      </c>
      <c r="L37" s="16">
        <f>ROUND(L33/L41,2)</f>
        <v>0.18</v>
      </c>
      <c r="M37" s="16">
        <f t="shared" ref="M37:P37" si="160">ROUND(M33/M41,2)</f>
        <v>0.19</v>
      </c>
      <c r="N37" s="16">
        <f t="shared" si="160"/>
        <v>0.23</v>
      </c>
      <c r="O37" s="16">
        <f t="shared" si="160"/>
        <v>0.2</v>
      </c>
      <c r="P37" s="64">
        <f t="shared" si="160"/>
        <v>0.79</v>
      </c>
      <c r="Q37" s="16">
        <f>ROUND(Q33/Q41,2)</f>
        <v>0.03</v>
      </c>
      <c r="R37" s="16">
        <f t="shared" ref="R37:T37" si="161">ROUND(R33/R41,2)</f>
        <v>-0.03</v>
      </c>
      <c r="S37" s="16">
        <f t="shared" si="161"/>
        <v>0.05</v>
      </c>
      <c r="T37" s="16">
        <f t="shared" si="161"/>
        <v>7.0000000000000007E-2</v>
      </c>
      <c r="U37" s="64">
        <f t="shared" ref="U37" si="162">ROUND(U33/U41,2)</f>
        <v>0.12</v>
      </c>
      <c r="V37" s="16">
        <f>ROUND(V33/V41,2)</f>
        <v>7.0000000000000007E-2</v>
      </c>
      <c r="W37" s="16">
        <f t="shared" ref="W37:Z37" si="163">ROUND(W33/W41,2)</f>
        <v>0.22</v>
      </c>
      <c r="X37" s="16">
        <f t="shared" si="163"/>
        <v>0.28000000000000003</v>
      </c>
      <c r="Y37" s="16">
        <f t="shared" si="163"/>
        <v>0.56000000000000005</v>
      </c>
      <c r="Z37" s="64">
        <f t="shared" si="163"/>
        <v>1.1299999999999999</v>
      </c>
      <c r="AA37" s="16">
        <f>ROUND(AA33/AA41,2)</f>
        <v>0.47</v>
      </c>
      <c r="AB37" s="16">
        <f t="shared" ref="AB37:AE37" si="164">ROUND(AB33/AB41,2)</f>
        <v>0.63</v>
      </c>
      <c r="AC37" s="16">
        <f t="shared" si="164"/>
        <v>0.67</v>
      </c>
      <c r="AD37" s="16">
        <f t="shared" si="164"/>
        <v>0.64</v>
      </c>
      <c r="AE37" s="64">
        <f t="shared" si="164"/>
        <v>2.42</v>
      </c>
      <c r="AF37" s="16">
        <f>ROUND(AF33/AF41,2)</f>
        <v>0.6</v>
      </c>
      <c r="AG37" s="16">
        <f t="shared" ref="AG37:AJ37" si="165">ROUND(AG33/AG41,2)</f>
        <v>0.72</v>
      </c>
      <c r="AH37" s="16">
        <f t="shared" si="165"/>
        <v>0.81</v>
      </c>
      <c r="AI37" s="16">
        <f t="shared" si="165"/>
        <v>0.67</v>
      </c>
      <c r="AJ37" s="64">
        <f t="shared" si="165"/>
        <v>2.81</v>
      </c>
      <c r="AK37" s="16">
        <f>ROUND(AK33/AK41,2)</f>
        <v>0.67</v>
      </c>
      <c r="AL37" s="16">
        <f t="shared" ref="AL37:AO37" si="166">ROUND(AL33/AL41,2)</f>
        <v>0.8</v>
      </c>
      <c r="AM37" s="16">
        <f t="shared" si="166"/>
        <v>0.81</v>
      </c>
      <c r="AN37" s="16">
        <f t="shared" si="166"/>
        <v>0.7</v>
      </c>
      <c r="AO37" s="64">
        <f t="shared" si="166"/>
        <v>2.97</v>
      </c>
      <c r="AP37" s="16">
        <f>ROUND(AP33/AP41,2)</f>
        <v>0.77</v>
      </c>
      <c r="AQ37" s="16">
        <f t="shared" ref="AQ37:AT37" si="167">ROUND(AQ33/AQ41,2)</f>
        <v>0.91</v>
      </c>
      <c r="AR37" s="16">
        <f t="shared" si="167"/>
        <v>1.05</v>
      </c>
      <c r="AS37" s="16">
        <f t="shared" si="167"/>
        <v>1.07</v>
      </c>
      <c r="AT37" s="64">
        <f t="shared" si="167"/>
        <v>3.79</v>
      </c>
      <c r="AU37" s="16">
        <f>ROUND(AU33/AU41,2)</f>
        <v>1.08</v>
      </c>
      <c r="AV37" s="16">
        <f t="shared" ref="AV37:AY37" si="168">ROUND(AV33/AV41,2)</f>
        <v>1.1499999999999999</v>
      </c>
      <c r="AW37" s="16">
        <f t="shared" si="168"/>
        <v>1.18</v>
      </c>
      <c r="AX37" s="16">
        <f t="shared" si="168"/>
        <v>1.1399999999999999</v>
      </c>
      <c r="AY37" s="64">
        <f t="shared" si="168"/>
        <v>4.53</v>
      </c>
      <c r="AZ37" s="16">
        <f>ROUND(AZ33/AZ41,2)</f>
        <v>0.92</v>
      </c>
      <c r="BA37" s="16">
        <f t="shared" ref="BA37:BD37" si="169">ROUND(BA33/BA41,2)</f>
        <v>1.25</v>
      </c>
      <c r="BB37" s="16">
        <f t="shared" si="169"/>
        <v>1.29</v>
      </c>
      <c r="BC37" s="16">
        <f t="shared" si="169"/>
        <v>1.39</v>
      </c>
      <c r="BD37" s="64">
        <f t="shared" si="169"/>
        <v>4.8499999999999996</v>
      </c>
      <c r="BE37" s="16">
        <f>ROUND(BE33/BE41,2)</f>
        <v>1.38</v>
      </c>
      <c r="BF37" s="16">
        <f>ROUND(BF33/BF41,2)</f>
        <v>1.91</v>
      </c>
      <c r="BG37" s="16">
        <f>ROUND(BG33/BG41,2)</f>
        <v>2.11</v>
      </c>
      <c r="BH37" s="16">
        <f>ROUND(BH33/BH41,2)</f>
        <v>0.96</v>
      </c>
      <c r="BI37" s="64">
        <f>ROUND(BI33/BI41,2)</f>
        <v>6.36</v>
      </c>
      <c r="BJ37" s="16">
        <f t="shared" ref="BJ37" si="170">ROUND(BJ33/BJ41,2)</f>
        <v>1.93</v>
      </c>
      <c r="BK37" s="16">
        <f t="shared" ref="BK37:BP37" si="171">ROUND(BK33/BK41,2)</f>
        <v>2.21</v>
      </c>
      <c r="BL37" s="16">
        <f t="shared" si="171"/>
        <v>1.84</v>
      </c>
      <c r="BM37" s="16">
        <f t="shared" si="171"/>
        <v>1.4</v>
      </c>
      <c r="BN37" s="64">
        <f t="shared" si="171"/>
        <v>7.38</v>
      </c>
      <c r="BO37" s="16">
        <f t="shared" si="171"/>
        <v>1.02</v>
      </c>
      <c r="BP37" s="16">
        <f t="shared" si="171"/>
        <v>1.34</v>
      </c>
      <c r="BQ37" s="16">
        <f t="shared" ref="BQ37:BS37" si="172">ROUND(BQ33/BQ41,2)</f>
        <v>1.07</v>
      </c>
      <c r="BR37" s="16">
        <f t="shared" si="172"/>
        <v>-0.08</v>
      </c>
      <c r="BS37" s="64">
        <f t="shared" si="172"/>
        <v>3.35</v>
      </c>
      <c r="BT37" s="16">
        <f t="shared" ref="BT37:BU37" si="173">ROUND(BT33/BT41,2)</f>
        <v>0.68</v>
      </c>
      <c r="BU37" s="16">
        <f t="shared" si="173"/>
        <v>0.71</v>
      </c>
      <c r="BV37" s="16">
        <f t="shared" ref="BV37:BX37" si="174">ROUND(BV33/BV41,2)</f>
        <v>0.66</v>
      </c>
      <c r="BW37" s="16">
        <f t="shared" si="174"/>
        <v>0.92</v>
      </c>
      <c r="BX37" s="64">
        <f t="shared" si="174"/>
        <v>2.97</v>
      </c>
      <c r="BY37" s="16">
        <f t="shared" ref="BY37:BZ37" si="175">ROUND(BY33/BY41,2)</f>
        <v>1.26</v>
      </c>
      <c r="BZ37" s="16">
        <f t="shared" si="175"/>
        <v>1.29</v>
      </c>
      <c r="CA37" s="16">
        <f>ROUND(CA33/CA41,2)</f>
        <v>1.4</v>
      </c>
      <c r="CB37" s="16">
        <f>ROUND(CB33/CB41,2)</f>
        <v>1.21</v>
      </c>
      <c r="CC37" s="64">
        <f t="shared" ref="CC37" si="176">ROUND(CC33/CC41,2)</f>
        <v>5.16</v>
      </c>
      <c r="CD37" s="16">
        <f t="shared" ref="CD37:CI37" si="177">ROUND(CD33/CD41,2)</f>
        <v>1.31</v>
      </c>
      <c r="CE37" s="16">
        <f t="shared" si="177"/>
        <v>1.1000000000000001</v>
      </c>
      <c r="CF37" s="16">
        <f t="shared" si="177"/>
        <v>1.47</v>
      </c>
      <c r="CG37" s="16">
        <f t="shared" si="177"/>
        <v>-1.91</v>
      </c>
      <c r="CH37" s="64">
        <f t="shared" si="177"/>
        <v>2.16</v>
      </c>
      <c r="CI37" s="16">
        <f t="shared" si="177"/>
        <v>1.26</v>
      </c>
      <c r="CJ37" s="16">
        <f t="shared" ref="CJ37:CK37" si="178">ROUND(CJ33/CJ41,2)</f>
        <v>1.31</v>
      </c>
      <c r="CK37" s="16">
        <f t="shared" si="178"/>
        <v>1.1599999999999999</v>
      </c>
      <c r="CL37" s="16">
        <f t="shared" ref="CL37" si="179">ROUND(CL33/CL41,2)</f>
        <v>0.89</v>
      </c>
      <c r="CM37" s="64">
        <f t="shared" ref="CM37" si="180">ROUND(CM33/CM41,2)</f>
        <v>4.63</v>
      </c>
      <c r="CN37" s="16">
        <f t="shared" ref="CN37:CO37" si="181">ROUND(CN33/CN41,2)</f>
        <v>0.52</v>
      </c>
      <c r="CO37" s="16">
        <f t="shared" si="181"/>
        <v>0.45</v>
      </c>
      <c r="CP37" s="16"/>
      <c r="CQ37" s="16"/>
      <c r="CR37" s="64">
        <f t="shared" ref="CR37" si="182">ROUND(CR33/CR41,2)</f>
        <v>0.97</v>
      </c>
    </row>
    <row r="38" spans="1:96" ht="11.15" customHeight="1" x14ac:dyDescent="0.2">
      <c r="A38" s="6"/>
      <c r="B38" s="16"/>
      <c r="C38" s="16"/>
      <c r="D38" s="16"/>
      <c r="E38" s="16"/>
      <c r="F38" s="64"/>
      <c r="G38" s="16"/>
      <c r="H38" s="16"/>
      <c r="I38" s="16"/>
      <c r="J38" s="16"/>
      <c r="K38" s="64"/>
      <c r="L38" s="16"/>
      <c r="M38" s="16"/>
      <c r="N38" s="16"/>
      <c r="O38" s="16"/>
      <c r="P38" s="64"/>
      <c r="Q38" s="16"/>
      <c r="R38" s="16"/>
      <c r="S38" s="16"/>
      <c r="T38" s="16"/>
      <c r="U38" s="64"/>
      <c r="V38" s="16"/>
      <c r="W38" s="16"/>
      <c r="X38" s="16"/>
      <c r="Y38" s="16"/>
      <c r="Z38" s="64"/>
      <c r="AA38" s="16"/>
      <c r="AB38" s="16"/>
      <c r="AC38" s="16"/>
      <c r="AD38" s="16"/>
      <c r="AE38" s="64"/>
      <c r="AF38" s="16"/>
      <c r="AG38" s="16"/>
      <c r="AH38" s="16"/>
      <c r="AI38" s="16"/>
      <c r="AJ38" s="64"/>
      <c r="AK38" s="16"/>
      <c r="AL38" s="16"/>
      <c r="AM38" s="16"/>
      <c r="AN38" s="16"/>
      <c r="AO38" s="64"/>
      <c r="AP38" s="16"/>
      <c r="AQ38" s="16"/>
      <c r="AR38" s="16"/>
      <c r="AS38" s="16"/>
      <c r="AT38" s="64"/>
      <c r="AU38" s="16"/>
      <c r="AV38" s="16"/>
      <c r="AW38" s="16"/>
      <c r="AX38" s="16"/>
      <c r="AY38" s="64"/>
      <c r="AZ38" s="16"/>
      <c r="BA38" s="16"/>
      <c r="BB38" s="16"/>
      <c r="BC38" s="16"/>
      <c r="BD38" s="64"/>
      <c r="BE38" s="16"/>
      <c r="BF38" s="16"/>
      <c r="BG38" s="16"/>
      <c r="BH38" s="16"/>
      <c r="BI38" s="64"/>
      <c r="BJ38" s="16"/>
      <c r="BK38" s="16"/>
      <c r="BL38" s="16"/>
      <c r="BM38" s="16"/>
      <c r="BN38" s="64"/>
      <c r="BO38" s="16"/>
      <c r="BP38" s="16"/>
      <c r="BQ38" s="16"/>
      <c r="BR38" s="16"/>
      <c r="BS38" s="64"/>
      <c r="BT38" s="16"/>
      <c r="BU38" s="16"/>
      <c r="BV38" s="16"/>
      <c r="BW38" s="16"/>
      <c r="BX38" s="64"/>
      <c r="BY38" s="16"/>
      <c r="BZ38" s="16"/>
      <c r="CA38" s="16"/>
      <c r="CB38" s="16"/>
      <c r="CC38" s="64"/>
      <c r="CD38" s="16"/>
      <c r="CE38" s="16"/>
      <c r="CF38" s="16"/>
      <c r="CG38" s="16"/>
      <c r="CH38" s="64"/>
      <c r="CI38" s="16"/>
      <c r="CJ38" s="16"/>
      <c r="CK38" s="16"/>
      <c r="CL38" s="16"/>
      <c r="CM38" s="64"/>
      <c r="CN38" s="16"/>
      <c r="CO38" s="16"/>
      <c r="CP38" s="16"/>
      <c r="CQ38" s="16"/>
      <c r="CR38" s="64"/>
    </row>
    <row r="39" spans="1:96" ht="11.15" customHeight="1" x14ac:dyDescent="0.2">
      <c r="A39" s="6" t="s">
        <v>175</v>
      </c>
      <c r="B39" s="16"/>
      <c r="C39" s="16"/>
      <c r="D39" s="16"/>
      <c r="E39" s="16"/>
      <c r="F39" s="64"/>
      <c r="G39" s="16"/>
      <c r="H39" s="16"/>
      <c r="I39" s="16"/>
      <c r="J39" s="16"/>
      <c r="K39" s="64"/>
      <c r="L39" s="16"/>
      <c r="M39" s="16"/>
      <c r="N39" s="16"/>
      <c r="O39" s="16"/>
      <c r="P39" s="64"/>
      <c r="Q39" s="16"/>
      <c r="R39" s="16"/>
      <c r="S39" s="16"/>
      <c r="T39" s="16"/>
      <c r="U39" s="64"/>
      <c r="V39" s="16"/>
      <c r="W39" s="16"/>
      <c r="X39" s="16"/>
      <c r="Y39" s="16"/>
      <c r="Z39" s="64"/>
      <c r="AA39" s="16"/>
      <c r="AB39" s="16"/>
      <c r="AC39" s="16"/>
      <c r="AD39" s="16"/>
      <c r="AE39" s="64"/>
      <c r="AF39" s="16"/>
      <c r="AG39" s="16"/>
      <c r="AH39" s="16"/>
      <c r="AI39" s="16"/>
      <c r="AJ39" s="64"/>
      <c r="AK39" s="16"/>
      <c r="AL39" s="16"/>
      <c r="AM39" s="16"/>
      <c r="AN39" s="16"/>
      <c r="AO39" s="64"/>
      <c r="AP39" s="16"/>
      <c r="AQ39" s="16"/>
      <c r="AR39" s="16"/>
      <c r="AS39" s="16"/>
      <c r="AT39" s="64"/>
      <c r="AU39" s="16"/>
      <c r="AV39" s="16"/>
      <c r="AW39" s="16"/>
      <c r="AX39" s="16"/>
      <c r="AY39" s="64"/>
      <c r="AZ39" s="16"/>
      <c r="BA39" s="16"/>
      <c r="BB39" s="36"/>
      <c r="BC39" s="36"/>
      <c r="BD39" s="64"/>
      <c r="BE39" s="36"/>
      <c r="BF39" s="36"/>
      <c r="BG39" s="36"/>
      <c r="BH39" s="36"/>
      <c r="BI39" s="64"/>
      <c r="BJ39" s="36"/>
      <c r="BK39" s="36"/>
      <c r="BL39" s="36"/>
      <c r="BM39" s="16"/>
      <c r="BN39" s="64"/>
      <c r="BO39" s="36"/>
      <c r="BP39" s="36"/>
      <c r="BQ39" s="36"/>
      <c r="BR39" s="16"/>
      <c r="BS39" s="64"/>
      <c r="BT39" s="36"/>
      <c r="BU39" s="36"/>
      <c r="BV39" s="36"/>
      <c r="BW39" s="16"/>
      <c r="BX39" s="64"/>
      <c r="BY39" s="36"/>
      <c r="BZ39" s="36"/>
      <c r="CA39" s="36"/>
      <c r="CB39" s="16"/>
      <c r="CC39" s="64"/>
      <c r="CD39" s="36"/>
      <c r="CE39" s="36"/>
      <c r="CF39" s="36"/>
      <c r="CG39" s="36"/>
      <c r="CH39" s="64"/>
      <c r="CI39" s="36"/>
      <c r="CJ39" s="36"/>
      <c r="CK39" s="36"/>
      <c r="CL39" s="36"/>
      <c r="CM39" s="64"/>
      <c r="CN39" s="36"/>
      <c r="CO39" s="36"/>
      <c r="CP39" s="36"/>
      <c r="CQ39" s="36"/>
      <c r="CR39" s="64"/>
    </row>
    <row r="40" spans="1:96" ht="11.15" customHeight="1" x14ac:dyDescent="0.2">
      <c r="A40" s="7" t="s">
        <v>48</v>
      </c>
      <c r="B40" s="36">
        <f>B41-2098</f>
        <v>36066</v>
      </c>
      <c r="C40" s="36">
        <f>C41-2293</f>
        <v>36370</v>
      </c>
      <c r="D40" s="36">
        <f>D41-2657</f>
        <v>36600</v>
      </c>
      <c r="E40" s="36">
        <f>E41-2357</f>
        <v>37877</v>
      </c>
      <c r="F40" s="65">
        <f>F41-2357</f>
        <v>36734</v>
      </c>
      <c r="G40" s="36">
        <v>42909</v>
      </c>
      <c r="H40" s="36">
        <v>42974</v>
      </c>
      <c r="I40" s="36">
        <v>43362</v>
      </c>
      <c r="J40" s="36">
        <v>43820</v>
      </c>
      <c r="K40" s="65">
        <v>43269</v>
      </c>
      <c r="L40" s="36">
        <v>44095</v>
      </c>
      <c r="M40" s="36">
        <v>44355</v>
      </c>
      <c r="N40" s="36">
        <v>44685</v>
      </c>
      <c r="O40" s="36">
        <v>44886</v>
      </c>
      <c r="P40" s="65">
        <v>44507</v>
      </c>
      <c r="Q40" s="36">
        <v>45094</v>
      </c>
      <c r="R40" s="36">
        <v>45431</v>
      </c>
      <c r="S40" s="36">
        <v>45573</v>
      </c>
      <c r="T40" s="36">
        <v>45849</v>
      </c>
      <c r="U40" s="65">
        <v>45489</v>
      </c>
      <c r="V40" s="36">
        <v>46098</v>
      </c>
      <c r="W40" s="36">
        <v>46220</v>
      </c>
      <c r="X40" s="36">
        <v>46533</v>
      </c>
      <c r="Y40" s="36">
        <v>46835</v>
      </c>
      <c r="Z40" s="65">
        <v>46424</v>
      </c>
      <c r="AA40" s="36">
        <v>47099</v>
      </c>
      <c r="AB40" s="36">
        <v>47310</v>
      </c>
      <c r="AC40" s="36">
        <v>47483</v>
      </c>
      <c r="AD40" s="36">
        <v>47564</v>
      </c>
      <c r="AE40" s="65">
        <v>47365</v>
      </c>
      <c r="AF40" s="36">
        <v>48446</v>
      </c>
      <c r="AG40" s="36">
        <v>50989</v>
      </c>
      <c r="AH40" s="36">
        <v>51090</v>
      </c>
      <c r="AI40" s="36">
        <v>51110</v>
      </c>
      <c r="AJ40" s="65">
        <v>50477</v>
      </c>
      <c r="AK40" s="36">
        <v>51407</v>
      </c>
      <c r="AL40" s="36">
        <v>51462</v>
      </c>
      <c r="AM40" s="36">
        <v>51495</v>
      </c>
      <c r="AN40" s="36">
        <v>51660</v>
      </c>
      <c r="AO40" s="65">
        <v>51548</v>
      </c>
      <c r="AP40" s="36">
        <v>51970</v>
      </c>
      <c r="AQ40" s="36">
        <v>52068</v>
      </c>
      <c r="AR40" s="36">
        <v>52088</v>
      </c>
      <c r="AS40" s="36">
        <v>52153</v>
      </c>
      <c r="AT40" s="65">
        <v>52104</v>
      </c>
      <c r="AU40" s="36">
        <v>52486</v>
      </c>
      <c r="AV40" s="36">
        <v>52657</v>
      </c>
      <c r="AW40" s="36">
        <v>52675</v>
      </c>
      <c r="AX40" s="36">
        <v>52714</v>
      </c>
      <c r="AY40" s="65">
        <v>52676</v>
      </c>
      <c r="AZ40" s="36">
        <v>52898</v>
      </c>
      <c r="BA40" s="36">
        <v>53065</v>
      </c>
      <c r="BB40" s="36">
        <v>53071</v>
      </c>
      <c r="BC40" s="36">
        <v>53097</v>
      </c>
      <c r="BD40" s="65">
        <v>53068</v>
      </c>
      <c r="BE40" s="36">
        <v>53368</v>
      </c>
      <c r="BF40" s="36">
        <v>53380</v>
      </c>
      <c r="BG40" s="36">
        <v>53440</v>
      </c>
      <c r="BH40" s="36">
        <v>53460</v>
      </c>
      <c r="BI40" s="65">
        <v>53495</v>
      </c>
      <c r="BJ40" s="36">
        <v>53694</v>
      </c>
      <c r="BK40" s="36">
        <v>53662</v>
      </c>
      <c r="BL40" s="36">
        <v>53571</v>
      </c>
      <c r="BM40" s="36">
        <v>53243</v>
      </c>
      <c r="BN40" s="65">
        <v>53522</v>
      </c>
      <c r="BO40" s="36">
        <v>53001</v>
      </c>
      <c r="BP40" s="36">
        <v>53042</v>
      </c>
      <c r="BQ40" s="36">
        <v>52928</v>
      </c>
      <c r="BR40" s="36">
        <v>52916</v>
      </c>
      <c r="BS40" s="65">
        <v>53061</v>
      </c>
      <c r="BT40" s="36">
        <v>53075</v>
      </c>
      <c r="BU40" s="36">
        <v>53040</v>
      </c>
      <c r="BV40" s="36">
        <v>53098</v>
      </c>
      <c r="BW40" s="36">
        <v>53187</v>
      </c>
      <c r="BX40" s="65">
        <v>53186</v>
      </c>
      <c r="BY40" s="36">
        <v>53541</v>
      </c>
      <c r="BZ40" s="36">
        <v>53472</v>
      </c>
      <c r="CA40" s="36">
        <v>53387</v>
      </c>
      <c r="CB40" s="36">
        <v>53222</v>
      </c>
      <c r="CC40" s="65">
        <v>53410</v>
      </c>
      <c r="CD40" s="36">
        <v>52810</v>
      </c>
      <c r="CE40" s="36">
        <v>51687</v>
      </c>
      <c r="CF40" s="36">
        <v>51629</v>
      </c>
      <c r="CG40" s="36">
        <v>48720</v>
      </c>
      <c r="CH40" s="65">
        <v>50761</v>
      </c>
      <c r="CI40" s="36">
        <v>47542</v>
      </c>
      <c r="CJ40" s="36">
        <v>47316</v>
      </c>
      <c r="CK40" s="36">
        <v>47237</v>
      </c>
      <c r="CL40" s="36">
        <v>46533</v>
      </c>
      <c r="CM40" s="65">
        <v>47154</v>
      </c>
      <c r="CN40" s="36">
        <v>45960</v>
      </c>
      <c r="CO40" s="36">
        <v>44918</v>
      </c>
      <c r="CP40" s="36"/>
      <c r="CQ40" s="36"/>
      <c r="CR40" s="61">
        <v>45439</v>
      </c>
    </row>
    <row r="41" spans="1:96" ht="11.15" customHeight="1" x14ac:dyDescent="0.2">
      <c r="A41" s="7" t="s">
        <v>49</v>
      </c>
      <c r="B41" s="36">
        <v>38164</v>
      </c>
      <c r="C41" s="36">
        <v>38663</v>
      </c>
      <c r="D41" s="36">
        <v>39257</v>
      </c>
      <c r="E41" s="36">
        <v>40234</v>
      </c>
      <c r="F41" s="65">
        <v>39091</v>
      </c>
      <c r="G41" s="36">
        <v>45602</v>
      </c>
      <c r="H41" s="36">
        <v>45631</v>
      </c>
      <c r="I41" s="36">
        <v>45731</v>
      </c>
      <c r="J41" s="36">
        <v>46021</v>
      </c>
      <c r="K41" s="65">
        <v>45749</v>
      </c>
      <c r="L41" s="36">
        <v>46041</v>
      </c>
      <c r="M41" s="36">
        <v>46132</v>
      </c>
      <c r="N41" s="36">
        <v>46375</v>
      </c>
      <c r="O41" s="36">
        <v>46337</v>
      </c>
      <c r="P41" s="65">
        <v>46223</v>
      </c>
      <c r="Q41" s="36">
        <v>46152</v>
      </c>
      <c r="R41" s="36">
        <v>45431</v>
      </c>
      <c r="S41" s="36">
        <v>46695</v>
      </c>
      <c r="T41" s="36">
        <v>47006</v>
      </c>
      <c r="U41" s="65">
        <v>46595</v>
      </c>
      <c r="V41" s="36">
        <v>47191</v>
      </c>
      <c r="W41" s="36">
        <v>47333</v>
      </c>
      <c r="X41" s="36">
        <v>47700</v>
      </c>
      <c r="Y41" s="36">
        <v>48141</v>
      </c>
      <c r="Z41" s="65">
        <v>47594</v>
      </c>
      <c r="AA41" s="36">
        <v>48690</v>
      </c>
      <c r="AB41" s="36">
        <v>48610</v>
      </c>
      <c r="AC41" s="36">
        <v>48747</v>
      </c>
      <c r="AD41" s="36">
        <v>48685</v>
      </c>
      <c r="AE41" s="65">
        <v>48685</v>
      </c>
      <c r="AF41" s="36">
        <v>49582</v>
      </c>
      <c r="AG41" s="36">
        <v>52071</v>
      </c>
      <c r="AH41" s="36">
        <v>52102</v>
      </c>
      <c r="AI41" s="36">
        <v>52116</v>
      </c>
      <c r="AJ41" s="65">
        <v>51536</v>
      </c>
      <c r="AK41" s="36">
        <v>52350</v>
      </c>
      <c r="AL41" s="36">
        <v>52385</v>
      </c>
      <c r="AM41" s="36">
        <v>52367</v>
      </c>
      <c r="AN41" s="36">
        <v>52487</v>
      </c>
      <c r="AO41" s="65">
        <v>52375</v>
      </c>
      <c r="AP41" s="36">
        <v>52724</v>
      </c>
      <c r="AQ41" s="36">
        <v>52769</v>
      </c>
      <c r="AR41" s="36">
        <v>52792</v>
      </c>
      <c r="AS41" s="36">
        <v>52873</v>
      </c>
      <c r="AT41" s="65">
        <v>52824</v>
      </c>
      <c r="AU41" s="36">
        <v>53267</v>
      </c>
      <c r="AV41" s="36">
        <v>53442</v>
      </c>
      <c r="AW41" s="36">
        <v>53392</v>
      </c>
      <c r="AX41" s="36">
        <v>53434</v>
      </c>
      <c r="AY41" s="65">
        <v>53427</v>
      </c>
      <c r="AZ41" s="36">
        <v>53621</v>
      </c>
      <c r="BA41" s="36">
        <v>53788</v>
      </c>
      <c r="BB41" s="36">
        <v>53761</v>
      </c>
      <c r="BC41" s="36">
        <v>53873</v>
      </c>
      <c r="BD41" s="65">
        <v>53797</v>
      </c>
      <c r="BE41" s="36">
        <v>54370</v>
      </c>
      <c r="BF41" s="36">
        <v>54471</v>
      </c>
      <c r="BG41" s="36">
        <v>54698</v>
      </c>
      <c r="BH41" s="36">
        <v>54923</v>
      </c>
      <c r="BI41" s="65">
        <v>54699</v>
      </c>
      <c r="BJ41" s="36">
        <v>55182</v>
      </c>
      <c r="BK41" s="36">
        <v>54992</v>
      </c>
      <c r="BL41" s="36">
        <v>54696</v>
      </c>
      <c r="BM41" s="36">
        <v>54107</v>
      </c>
      <c r="BN41" s="65">
        <v>54726</v>
      </c>
      <c r="BO41" s="36">
        <v>53874</v>
      </c>
      <c r="BP41" s="36">
        <v>53848</v>
      </c>
      <c r="BQ41" s="36">
        <v>53622</v>
      </c>
      <c r="BR41" s="36">
        <v>52916</v>
      </c>
      <c r="BS41" s="65">
        <v>53839</v>
      </c>
      <c r="BT41" s="36">
        <v>53676</v>
      </c>
      <c r="BU41" s="36">
        <v>53530</v>
      </c>
      <c r="BV41" s="36">
        <v>53664</v>
      </c>
      <c r="BW41" s="36">
        <v>53865</v>
      </c>
      <c r="BX41" s="65">
        <v>53785</v>
      </c>
      <c r="BY41" s="36">
        <v>54201</v>
      </c>
      <c r="BZ41" s="36">
        <v>53999</v>
      </c>
      <c r="CA41" s="36">
        <v>53834</v>
      </c>
      <c r="CB41" s="36">
        <v>53626</v>
      </c>
      <c r="CC41" s="65">
        <v>53930</v>
      </c>
      <c r="CD41" s="36">
        <v>53100</v>
      </c>
      <c r="CE41" s="36">
        <v>51795</v>
      </c>
      <c r="CF41" s="36">
        <v>51737</v>
      </c>
      <c r="CG41" s="36">
        <v>48720</v>
      </c>
      <c r="CH41" s="65">
        <v>50925</v>
      </c>
      <c r="CI41" s="36">
        <v>47776</v>
      </c>
      <c r="CJ41" s="36">
        <v>47453</v>
      </c>
      <c r="CK41" s="36">
        <v>47388</v>
      </c>
      <c r="CL41" s="36">
        <v>46656</v>
      </c>
      <c r="CM41" s="65">
        <v>47320</v>
      </c>
      <c r="CN41" s="36">
        <v>46175</v>
      </c>
      <c r="CO41" s="36">
        <v>45012</v>
      </c>
      <c r="CP41" s="36"/>
      <c r="CQ41" s="36"/>
      <c r="CR41" s="61">
        <v>45601</v>
      </c>
    </row>
    <row r="42" spans="1:96" ht="11.15" customHeight="1" x14ac:dyDescent="0.2">
      <c r="A42" s="6"/>
      <c r="B42" s="11"/>
      <c r="C42" s="11"/>
      <c r="F42" s="66"/>
      <c r="G42" s="11"/>
      <c r="H42" s="11"/>
      <c r="K42" s="66"/>
      <c r="L42" s="11"/>
      <c r="M42" s="11"/>
      <c r="P42" s="66"/>
      <c r="Q42" s="11"/>
      <c r="R42" s="11"/>
      <c r="U42" s="66"/>
      <c r="V42" s="11"/>
      <c r="W42" s="11"/>
      <c r="Z42" s="66"/>
      <c r="AA42" s="11"/>
      <c r="AB42" s="11"/>
      <c r="AE42" s="66"/>
      <c r="AF42" s="11"/>
      <c r="AG42" s="11"/>
      <c r="AJ42" s="66"/>
      <c r="AK42" s="11"/>
      <c r="AL42" s="11"/>
      <c r="AO42" s="66"/>
      <c r="AP42" s="11"/>
      <c r="AQ42" s="11"/>
      <c r="AT42" s="66"/>
      <c r="AU42" s="11"/>
      <c r="AV42" s="11"/>
      <c r="AY42" s="66"/>
      <c r="AZ42" s="11"/>
      <c r="BA42" s="11"/>
      <c r="BD42" s="66"/>
      <c r="BE42" s="11"/>
      <c r="BF42" s="11"/>
      <c r="BI42" s="66"/>
      <c r="BJ42" s="11"/>
      <c r="BK42" s="11"/>
      <c r="BL42" s="11"/>
      <c r="BN42" s="66"/>
      <c r="BO42" s="11"/>
      <c r="BP42" s="11"/>
      <c r="BQ42" s="11"/>
      <c r="BS42" s="66"/>
      <c r="BT42" s="11"/>
      <c r="BU42" s="11"/>
      <c r="BV42" s="11"/>
      <c r="BX42" s="66"/>
      <c r="BY42" s="11"/>
      <c r="BZ42" s="11"/>
      <c r="CA42" s="11"/>
      <c r="CC42" s="66"/>
      <c r="CD42" s="11"/>
      <c r="CE42" s="11"/>
      <c r="CF42" s="11"/>
      <c r="CG42" s="11"/>
      <c r="CH42" s="66"/>
      <c r="CI42" s="11"/>
      <c r="CJ42" s="11"/>
      <c r="CK42" s="11"/>
      <c r="CL42" s="11"/>
      <c r="CM42" s="66"/>
      <c r="CN42" s="11"/>
      <c r="CO42" s="11"/>
      <c r="CP42" s="11"/>
      <c r="CQ42" s="11"/>
      <c r="CR42" s="66"/>
    </row>
    <row r="43" spans="1:96" ht="11.15" customHeight="1" x14ac:dyDescent="0.2">
      <c r="A43" s="6"/>
      <c r="B43" s="11"/>
      <c r="C43" s="11"/>
      <c r="F43" s="66"/>
      <c r="G43" s="11"/>
      <c r="H43" s="11"/>
      <c r="K43" s="66"/>
      <c r="L43" s="11"/>
      <c r="M43" s="11"/>
      <c r="P43" s="66"/>
      <c r="Q43" s="11"/>
      <c r="R43" s="11"/>
      <c r="U43" s="66"/>
      <c r="V43" s="11"/>
      <c r="W43" s="11"/>
      <c r="Z43" s="66"/>
      <c r="AA43" s="11"/>
      <c r="AB43" s="11"/>
      <c r="AE43" s="66"/>
      <c r="AF43" s="11"/>
      <c r="AG43" s="11"/>
      <c r="AJ43" s="66"/>
      <c r="AK43" s="11"/>
      <c r="AL43" s="11"/>
      <c r="AO43" s="66"/>
      <c r="AP43" s="11"/>
      <c r="AQ43" s="11"/>
      <c r="AT43" s="66"/>
      <c r="AU43" s="11"/>
      <c r="AV43" s="11"/>
      <c r="AY43" s="66"/>
      <c r="AZ43" s="11"/>
      <c r="BA43" s="11"/>
      <c r="BD43" s="66"/>
      <c r="BE43" s="11"/>
      <c r="BF43" s="18"/>
      <c r="BI43" s="66"/>
      <c r="BJ43" s="18"/>
      <c r="BK43" s="18"/>
      <c r="BL43" s="18"/>
      <c r="BM43" s="18"/>
      <c r="BN43" s="66"/>
      <c r="BO43" s="18"/>
      <c r="BP43" s="18"/>
      <c r="BQ43" s="18"/>
      <c r="BR43" s="18"/>
      <c r="BS43" s="66"/>
      <c r="BT43" s="18"/>
      <c r="BU43" s="18"/>
      <c r="BV43" s="18"/>
      <c r="BW43" s="18"/>
      <c r="BX43" s="66"/>
      <c r="BY43" s="18"/>
      <c r="BZ43" s="18"/>
      <c r="CA43" s="18"/>
      <c r="CB43" s="18"/>
      <c r="CC43" s="66"/>
      <c r="CD43" s="18"/>
      <c r="CE43" s="18"/>
      <c r="CF43" s="18"/>
      <c r="CG43" s="18"/>
      <c r="CH43" s="66"/>
      <c r="CI43" s="18"/>
      <c r="CJ43" s="18"/>
      <c r="CK43" s="18"/>
      <c r="CL43" s="18"/>
      <c r="CM43" s="66"/>
      <c r="CN43" s="18"/>
      <c r="CO43" s="18"/>
      <c r="CP43" s="18"/>
      <c r="CQ43" s="18"/>
      <c r="CR43" s="66"/>
    </row>
    <row r="44" spans="1:96" s="19" customFormat="1" ht="11.15" customHeight="1" x14ac:dyDescent="0.2">
      <c r="A44" s="17" t="s">
        <v>15</v>
      </c>
      <c r="B44" s="18">
        <f t="shared" ref="B44:AG44" si="183">B7/B5</f>
        <v>0.38069205631738079</v>
      </c>
      <c r="C44" s="18">
        <f t="shared" si="183"/>
        <v>0.41458488690032314</v>
      </c>
      <c r="D44" s="18">
        <f t="shared" si="183"/>
        <v>0.47890942239164663</v>
      </c>
      <c r="E44" s="18">
        <f t="shared" si="183"/>
        <v>0.47863268166377654</v>
      </c>
      <c r="F44" s="67">
        <f t="shared" si="183"/>
        <v>0.44192005585617034</v>
      </c>
      <c r="G44" s="18">
        <f t="shared" si="183"/>
        <v>0.46298469571048789</v>
      </c>
      <c r="H44" s="18">
        <f t="shared" si="183"/>
        <v>0.46229978157990537</v>
      </c>
      <c r="I44" s="18">
        <f t="shared" si="183"/>
        <v>0.45308422920363217</v>
      </c>
      <c r="J44" s="18">
        <f t="shared" si="183"/>
        <v>0.42905914613107671</v>
      </c>
      <c r="K44" s="67">
        <f t="shared" si="183"/>
        <v>0.45040995987852256</v>
      </c>
      <c r="L44" s="18">
        <f t="shared" si="183"/>
        <v>0.46145699372115895</v>
      </c>
      <c r="M44" s="18">
        <f t="shared" si="183"/>
        <v>0.48124799085616315</v>
      </c>
      <c r="N44" s="18">
        <f t="shared" si="183"/>
        <v>0.47445655679545895</v>
      </c>
      <c r="O44" s="18">
        <f t="shared" si="183"/>
        <v>0.45590610715881363</v>
      </c>
      <c r="P44" s="67">
        <f t="shared" si="183"/>
        <v>0.46840349927534969</v>
      </c>
      <c r="Q44" s="18">
        <f t="shared" si="183"/>
        <v>0.34929968287526425</v>
      </c>
      <c r="R44" s="18">
        <f t="shared" si="183"/>
        <v>0.29149436672031692</v>
      </c>
      <c r="S44" s="18">
        <f t="shared" si="183"/>
        <v>0.36506723716381417</v>
      </c>
      <c r="T44" s="18">
        <f t="shared" si="183"/>
        <v>0.36675077818503304</v>
      </c>
      <c r="U44" s="67">
        <f t="shared" si="183"/>
        <v>0.34572390717290497</v>
      </c>
      <c r="V44" s="18">
        <f t="shared" si="183"/>
        <v>0.40127724396531522</v>
      </c>
      <c r="W44" s="18">
        <f t="shared" si="183"/>
        <v>0.45289779654464896</v>
      </c>
      <c r="X44" s="18">
        <f t="shared" si="183"/>
        <v>0.50033204275207055</v>
      </c>
      <c r="Y44" s="18">
        <f t="shared" si="183"/>
        <v>0.54977471901767594</v>
      </c>
      <c r="Z44" s="67">
        <f t="shared" si="183"/>
        <v>0.48940706284919933</v>
      </c>
      <c r="AA44" s="18">
        <f t="shared" si="183"/>
        <v>0.53688549190660073</v>
      </c>
      <c r="AB44" s="18">
        <f t="shared" si="183"/>
        <v>0.54705747277260197</v>
      </c>
      <c r="AC44" s="18">
        <f t="shared" si="183"/>
        <v>0.5459229529535734</v>
      </c>
      <c r="AD44" s="18">
        <f t="shared" si="183"/>
        <v>0.53774165344386515</v>
      </c>
      <c r="AE44" s="67">
        <f t="shared" si="183"/>
        <v>0.54218073604478145</v>
      </c>
      <c r="AF44" s="18">
        <f t="shared" si="183"/>
        <v>0.55753620364958767</v>
      </c>
      <c r="AG44" s="18">
        <f t="shared" si="183"/>
        <v>0.54311338606654247</v>
      </c>
      <c r="AH44" s="18">
        <f t="shared" ref="AH44:BM44" si="184">AH7/AH5</f>
        <v>0.54968378107034832</v>
      </c>
      <c r="AI44" s="18">
        <f t="shared" si="184"/>
        <v>0.51833413776460047</v>
      </c>
      <c r="AJ44" s="67">
        <f t="shared" si="184"/>
        <v>0.54170992377268334</v>
      </c>
      <c r="AK44" s="18">
        <f t="shared" si="184"/>
        <v>0.53323886868003267</v>
      </c>
      <c r="AL44" s="18">
        <f t="shared" si="184"/>
        <v>0.53470574593717113</v>
      </c>
      <c r="AM44" s="18">
        <f t="shared" si="184"/>
        <v>0.53913402109763464</v>
      </c>
      <c r="AN44" s="18">
        <f t="shared" si="184"/>
        <v>0.49151387624427978</v>
      </c>
      <c r="AO44" s="67">
        <f t="shared" si="184"/>
        <v>0.52450643021816756</v>
      </c>
      <c r="AP44" s="18">
        <f t="shared" si="184"/>
        <v>0.52342957643265431</v>
      </c>
      <c r="AQ44" s="18">
        <f t="shared" si="184"/>
        <v>0.54227279349024993</v>
      </c>
      <c r="AR44" s="18">
        <f t="shared" si="184"/>
        <v>0.54640347406223866</v>
      </c>
      <c r="AS44" s="18">
        <f t="shared" si="184"/>
        <v>0.54925699848603193</v>
      </c>
      <c r="AT44" s="67">
        <f t="shared" si="184"/>
        <v>0.54105051491754041</v>
      </c>
      <c r="AU44" s="18">
        <f t="shared" si="184"/>
        <v>0.5419531564133494</v>
      </c>
      <c r="AV44" s="18">
        <f t="shared" si="184"/>
        <v>0.54735091733365093</v>
      </c>
      <c r="AW44" s="18">
        <f t="shared" si="184"/>
        <v>0.54735752912240654</v>
      </c>
      <c r="AX44" s="18">
        <f t="shared" si="184"/>
        <v>0.54574602237664671</v>
      </c>
      <c r="AY44" s="67">
        <f t="shared" si="184"/>
        <v>0.54576289992399574</v>
      </c>
      <c r="AZ44" s="18">
        <f t="shared" si="184"/>
        <v>0.55204392804755653</v>
      </c>
      <c r="BA44" s="18">
        <f t="shared" si="184"/>
        <v>0.54474320277545918</v>
      </c>
      <c r="BB44" s="18">
        <f t="shared" si="184"/>
        <v>0.54429228207219837</v>
      </c>
      <c r="BC44" s="18">
        <f t="shared" si="184"/>
        <v>0.55453179161862198</v>
      </c>
      <c r="BD44" s="67">
        <f t="shared" si="184"/>
        <v>0.54885293085781472</v>
      </c>
      <c r="BE44" s="18">
        <f t="shared" si="184"/>
        <v>0.55018086662048793</v>
      </c>
      <c r="BF44" s="18">
        <f t="shared" si="184"/>
        <v>0.55850319324910047</v>
      </c>
      <c r="BG44" s="18">
        <f t="shared" si="184"/>
        <v>0.57194707283216384</v>
      </c>
      <c r="BH44" s="18">
        <f t="shared" si="184"/>
        <v>0.57828585672542965</v>
      </c>
      <c r="BI44" s="67">
        <f t="shared" si="184"/>
        <v>0.56563079135403849</v>
      </c>
      <c r="BJ44" s="18">
        <f t="shared" si="184"/>
        <v>0.56510792966231682</v>
      </c>
      <c r="BK44" s="18">
        <f t="shared" si="184"/>
        <v>0.56810351705579853</v>
      </c>
      <c r="BL44" s="18">
        <f t="shared" si="184"/>
        <v>0.54773731148939508</v>
      </c>
      <c r="BM44" s="18">
        <f t="shared" si="184"/>
        <v>0.50521889041390577</v>
      </c>
      <c r="BN44" s="67">
        <f t="shared" ref="BN44:CG44" si="185">BN7/BN5</f>
        <v>0.54817676046014929</v>
      </c>
      <c r="BO44" s="18">
        <f t="shared" si="185"/>
        <v>0.47266280904119068</v>
      </c>
      <c r="BP44" s="18">
        <f t="shared" si="185"/>
        <v>0.49547102694292255</v>
      </c>
      <c r="BQ44" s="18">
        <f t="shared" si="185"/>
        <v>0.4644191797969241</v>
      </c>
      <c r="BR44" s="18">
        <f t="shared" si="185"/>
        <v>0.40506217652065862</v>
      </c>
      <c r="BS44" s="67">
        <f t="shared" si="185"/>
        <v>0.46114237159977212</v>
      </c>
      <c r="BT44" s="18">
        <f t="shared" si="185"/>
        <v>0.4127554745989841</v>
      </c>
      <c r="BU44" s="18">
        <f t="shared" si="185"/>
        <v>0.4603371669742351</v>
      </c>
      <c r="BV44" s="18">
        <f t="shared" si="185"/>
        <v>0.47981258694703255</v>
      </c>
      <c r="BW44" s="18">
        <f t="shared" si="185"/>
        <v>0.43632177761934471</v>
      </c>
      <c r="BX44" s="67">
        <f t="shared" si="185"/>
        <v>0.44889250152408045</v>
      </c>
      <c r="BY44" s="18">
        <f t="shared" si="185"/>
        <v>0.47453159135957867</v>
      </c>
      <c r="BZ44" s="18">
        <f t="shared" si="185"/>
        <v>0.48573688713817542</v>
      </c>
      <c r="CA44" s="18">
        <f t="shared" si="185"/>
        <v>0.49023869181062901</v>
      </c>
      <c r="CB44" s="18">
        <f t="shared" si="185"/>
        <v>0.45547333503444759</v>
      </c>
      <c r="CC44" s="67">
        <f t="shared" si="185"/>
        <v>0.47670413318182442</v>
      </c>
      <c r="CD44" s="18">
        <f t="shared" si="185"/>
        <v>0.46440743934115181</v>
      </c>
      <c r="CE44" s="18">
        <f t="shared" si="185"/>
        <v>0.45711800075857439</v>
      </c>
      <c r="CF44" s="18">
        <f t="shared" si="185"/>
        <v>0.43100691678653091</v>
      </c>
      <c r="CG44" s="18">
        <f t="shared" si="185"/>
        <v>0.18235948419824968</v>
      </c>
      <c r="CH44" s="67">
        <f t="shared" ref="CH44:CM44" si="186">CH7/CH5</f>
        <v>0.38852377711260982</v>
      </c>
      <c r="CI44" s="18">
        <f t="shared" si="186"/>
        <v>0.42324021960169828</v>
      </c>
      <c r="CJ44" s="18">
        <f t="shared" si="186"/>
        <v>0.43442234778848782</v>
      </c>
      <c r="CK44" s="18">
        <f t="shared" si="186"/>
        <v>0.4409474421120036</v>
      </c>
      <c r="CL44" s="18">
        <f t="shared" ref="CL44" si="187">CL7/CL5</f>
        <v>0.38196612165557575</v>
      </c>
      <c r="CM44" s="67">
        <f t="shared" si="186"/>
        <v>0.42075624553862356</v>
      </c>
      <c r="CN44" s="18">
        <f>CN7/CN5</f>
        <v>0.38703379641203289</v>
      </c>
      <c r="CO44" s="18">
        <f>CO7/CO5</f>
        <v>0.37332764074598768</v>
      </c>
      <c r="CP44" s="18"/>
      <c r="CQ44" s="18"/>
      <c r="CR44" s="67">
        <f t="shared" ref="CR44" si="188">CR7/CR5</f>
        <v>0.38010493393557199</v>
      </c>
    </row>
    <row r="45" spans="1:96" s="19" customFormat="1" ht="11.15" customHeight="1" x14ac:dyDescent="0.2">
      <c r="A45" s="17" t="s">
        <v>20</v>
      </c>
      <c r="B45" s="18">
        <f t="shared" ref="B45:AG45" si="189">B20/B5</f>
        <v>0.22878172433802646</v>
      </c>
      <c r="C45" s="18">
        <f t="shared" si="189"/>
        <v>0.23424683072334079</v>
      </c>
      <c r="D45" s="18">
        <f t="shared" si="189"/>
        <v>0.28557222176182978</v>
      </c>
      <c r="E45" s="18">
        <f t="shared" si="189"/>
        <v>0.25270209278570921</v>
      </c>
      <c r="F45" s="67">
        <f t="shared" si="189"/>
        <v>0.2513946587537092</v>
      </c>
      <c r="G45" s="18">
        <f t="shared" si="189"/>
        <v>0.26469954254784089</v>
      </c>
      <c r="H45" s="18">
        <f t="shared" si="189"/>
        <v>0.22993265380414998</v>
      </c>
      <c r="I45" s="18">
        <f t="shared" si="189"/>
        <v>0.26748773614445254</v>
      </c>
      <c r="J45" s="18">
        <f t="shared" si="189"/>
        <v>0.22430856956071696</v>
      </c>
      <c r="K45" s="67">
        <f t="shared" si="189"/>
        <v>0.24552012168944812</v>
      </c>
      <c r="L45" s="18">
        <f t="shared" si="189"/>
        <v>0.23715863529767758</v>
      </c>
      <c r="M45" s="18">
        <f t="shared" si="189"/>
        <v>0.22811372647069328</v>
      </c>
      <c r="N45" s="18">
        <f t="shared" si="189"/>
        <v>0.27557569502676899</v>
      </c>
      <c r="O45" s="18">
        <f t="shared" si="189"/>
        <v>0.25421864797058114</v>
      </c>
      <c r="P45" s="67">
        <f t="shared" si="189"/>
        <v>0.2496813284674082</v>
      </c>
      <c r="Q45" s="18">
        <f t="shared" si="189"/>
        <v>4.459566596194503E-2</v>
      </c>
      <c r="R45" s="18">
        <f t="shared" si="189"/>
        <v>-3.1843506252321407E-2</v>
      </c>
      <c r="S45" s="18">
        <f t="shared" si="189"/>
        <v>7.9636744673419496E-2</v>
      </c>
      <c r="T45" s="18">
        <f t="shared" si="189"/>
        <v>8.6014771701692666E-2</v>
      </c>
      <c r="U45" s="67">
        <f t="shared" si="189"/>
        <v>4.8721314297395291E-2</v>
      </c>
      <c r="V45" s="18">
        <f t="shared" si="189"/>
        <v>0.10411295992500585</v>
      </c>
      <c r="W45" s="18">
        <f t="shared" si="189"/>
        <v>0.23359302982544827</v>
      </c>
      <c r="X45" s="18">
        <f t="shared" si="189"/>
        <v>0.25742710721848411</v>
      </c>
      <c r="Y45" s="18">
        <f t="shared" si="189"/>
        <v>0.38435411199683123</v>
      </c>
      <c r="Z45" s="67">
        <f t="shared" si="189"/>
        <v>0.26866963402571709</v>
      </c>
      <c r="AA45" s="18">
        <f t="shared" si="189"/>
        <v>0.34112327177414514</v>
      </c>
      <c r="AB45" s="18">
        <f t="shared" si="189"/>
        <v>0.3782476053011416</v>
      </c>
      <c r="AC45" s="18">
        <f t="shared" si="189"/>
        <v>0.38145416227608009</v>
      </c>
      <c r="AD45" s="18">
        <f t="shared" si="189"/>
        <v>0.37296395842103558</v>
      </c>
      <c r="AE45" s="67">
        <f t="shared" si="189"/>
        <v>0.3699234112147563</v>
      </c>
      <c r="AF45" s="18">
        <f t="shared" si="189"/>
        <v>0.36672024157412819</v>
      </c>
      <c r="AG45" s="18">
        <f t="shared" si="189"/>
        <v>0.40923822021794137</v>
      </c>
      <c r="AH45" s="18">
        <f t="shared" ref="AH45:BM45" si="190">AH20/AH5</f>
        <v>0.3837279941680149</v>
      </c>
      <c r="AI45" s="18">
        <f t="shared" si="190"/>
        <v>0.32585671929945531</v>
      </c>
      <c r="AJ45" s="67">
        <f t="shared" si="190"/>
        <v>0.37133796006598785</v>
      </c>
      <c r="AK45" s="18">
        <f t="shared" si="190"/>
        <v>0.3499844908778163</v>
      </c>
      <c r="AL45" s="18">
        <f t="shared" si="190"/>
        <v>0.35603641531536351</v>
      </c>
      <c r="AM45" s="18">
        <f t="shared" si="190"/>
        <v>0.34721060458199732</v>
      </c>
      <c r="AN45" s="18">
        <f t="shared" si="190"/>
        <v>0.29454536684774418</v>
      </c>
      <c r="AO45" s="67">
        <f t="shared" si="190"/>
        <v>0.33662894230858259</v>
      </c>
      <c r="AP45" s="18">
        <f t="shared" si="190"/>
        <v>0.33878938883189214</v>
      </c>
      <c r="AQ45" s="18">
        <f t="shared" si="190"/>
        <v>0.35768766518906997</v>
      </c>
      <c r="AR45" s="18">
        <f t="shared" si="190"/>
        <v>0.38862314739219939</v>
      </c>
      <c r="AS45" s="18">
        <f t="shared" si="190"/>
        <v>0.38394518857098775</v>
      </c>
      <c r="AT45" s="67">
        <f t="shared" si="190"/>
        <v>0.36859730434692245</v>
      </c>
      <c r="AU45" s="18">
        <f t="shared" si="190"/>
        <v>0.41225371934057098</v>
      </c>
      <c r="AV45" s="18">
        <f t="shared" si="190"/>
        <v>0.37187949204297049</v>
      </c>
      <c r="AW45" s="18">
        <f t="shared" si="190"/>
        <v>0.36774916749130537</v>
      </c>
      <c r="AX45" s="18">
        <f t="shared" si="190"/>
        <v>0.37122695929811383</v>
      </c>
      <c r="AY45" s="67">
        <f t="shared" si="190"/>
        <v>0.37951434927574024</v>
      </c>
      <c r="AZ45" s="18">
        <f t="shared" si="190"/>
        <v>0.33785126997606735</v>
      </c>
      <c r="BA45" s="18">
        <f t="shared" si="190"/>
        <v>0.37584211213393093</v>
      </c>
      <c r="BB45" s="18">
        <f t="shared" si="190"/>
        <v>0.35368416304221156</v>
      </c>
      <c r="BC45" s="18">
        <f t="shared" si="190"/>
        <v>0.37555556348863528</v>
      </c>
      <c r="BD45" s="67">
        <f t="shared" si="190"/>
        <v>0.36207888703036156</v>
      </c>
      <c r="BE45" s="18">
        <f t="shared" si="190"/>
        <v>0.35501983585567054</v>
      </c>
      <c r="BF45" s="18">
        <f t="shared" si="190"/>
        <v>0.38211239045625967</v>
      </c>
      <c r="BG45" s="18">
        <f t="shared" si="190"/>
        <v>0.40808934961730958</v>
      </c>
      <c r="BH45" s="18">
        <f t="shared" si="190"/>
        <v>0.41064934705238815</v>
      </c>
      <c r="BI45" s="67">
        <f t="shared" si="190"/>
        <v>0.39116779249465361</v>
      </c>
      <c r="BJ45" s="18">
        <f t="shared" si="190"/>
        <v>0.39209256830358136</v>
      </c>
      <c r="BK45" s="18">
        <f t="shared" si="190"/>
        <v>0.39261580269478957</v>
      </c>
      <c r="BL45" s="18">
        <f t="shared" si="190"/>
        <v>0.34759194715248665</v>
      </c>
      <c r="BM45" s="18">
        <f t="shared" si="190"/>
        <v>0.29102169058721228</v>
      </c>
      <c r="BN45" s="67">
        <f t="shared" ref="BN45:CI45" si="191">BN20/BN5</f>
        <v>0.35852820174891809</v>
      </c>
      <c r="BO45" s="18">
        <f t="shared" si="191"/>
        <v>0.21684066186949882</v>
      </c>
      <c r="BP45" s="18">
        <f t="shared" si="191"/>
        <v>0.25040616435155277</v>
      </c>
      <c r="BQ45" s="18">
        <f t="shared" si="191"/>
        <v>0.22527025138391799</v>
      </c>
      <c r="BR45" s="18">
        <f t="shared" si="191"/>
        <v>7.9249381169955676E-4</v>
      </c>
      <c r="BS45" s="67">
        <f t="shared" si="191"/>
        <v>0.17784602089943488</v>
      </c>
      <c r="BT45" s="18">
        <f t="shared" si="191"/>
        <v>0.17972893814044183</v>
      </c>
      <c r="BU45" s="18">
        <f t="shared" si="191"/>
        <v>0.15926871809750651</v>
      </c>
      <c r="BV45" s="18">
        <f t="shared" si="191"/>
        <v>0.13004920848760051</v>
      </c>
      <c r="BW45" s="18">
        <f t="shared" si="191"/>
        <v>0.19380625612690491</v>
      </c>
      <c r="BX45" s="67">
        <f t="shared" si="191"/>
        <v>0.16544934556151122</v>
      </c>
      <c r="BY45" s="18">
        <f t="shared" si="191"/>
        <v>0.25707713008377098</v>
      </c>
      <c r="BZ45" s="18">
        <f t="shared" si="191"/>
        <v>0.24821744722298458</v>
      </c>
      <c r="CA45" s="18">
        <f t="shared" si="191"/>
        <v>0.26898588948964791</v>
      </c>
      <c r="CB45" s="18">
        <f t="shared" si="191"/>
        <v>0.23267675811527519</v>
      </c>
      <c r="CC45" s="67">
        <f t="shared" si="191"/>
        <v>0.25182632148186684</v>
      </c>
      <c r="CD45" s="18">
        <f t="shared" si="191"/>
        <v>0.25175212647204298</v>
      </c>
      <c r="CE45" s="18">
        <f t="shared" si="191"/>
        <v>0.19010776530874773</v>
      </c>
      <c r="CF45" s="18">
        <f t="shared" si="191"/>
        <v>0.2669352389357203</v>
      </c>
      <c r="CG45" s="18">
        <f t="shared" si="191"/>
        <v>-0.26527632450777872</v>
      </c>
      <c r="CH45" s="67">
        <f>CH20/CH5</f>
        <v>0.11856902920995252</v>
      </c>
      <c r="CI45" s="18">
        <f t="shared" si="191"/>
        <v>0.21725705265947334</v>
      </c>
      <c r="CJ45" s="18">
        <f t="shared" ref="CJ45:CK45" si="192">CJ20/CJ5</f>
        <v>0.21196807963032141</v>
      </c>
      <c r="CK45" s="18">
        <f t="shared" si="192"/>
        <v>0.1848235407314508</v>
      </c>
      <c r="CL45" s="18">
        <f t="shared" ref="CL45" si="193">CL20/CL5</f>
        <v>9.6281947051285913E-2</v>
      </c>
      <c r="CM45" s="67">
        <f>CM20/CM5</f>
        <v>0.18018174064945991</v>
      </c>
      <c r="CN45" s="18">
        <f>CN20/CN5</f>
        <v>7.5790943974223146E-2</v>
      </c>
      <c r="CO45" s="18">
        <f>CO20/CO5</f>
        <v>4.6730967028275339E-2</v>
      </c>
      <c r="CP45" s="18"/>
      <c r="CQ45" s="18"/>
      <c r="CR45" s="67">
        <f>CR20/CR5</f>
        <v>6.1100275873435701E-2</v>
      </c>
    </row>
    <row r="46" spans="1:96" s="19" customFormat="1" ht="11.15" customHeight="1" x14ac:dyDescent="0.2">
      <c r="A46" s="20" t="s">
        <v>17</v>
      </c>
      <c r="B46" s="18">
        <f t="shared" ref="B46:AG46" si="194">B10/B5</f>
        <v>3.2984149283816391E-2</v>
      </c>
      <c r="C46" s="18">
        <f t="shared" si="194"/>
        <v>3.9243102162565248E-2</v>
      </c>
      <c r="D46" s="18">
        <f t="shared" si="194"/>
        <v>4.8838429877627688E-2</v>
      </c>
      <c r="E46" s="18">
        <f t="shared" si="194"/>
        <v>5.014609117039219E-2</v>
      </c>
      <c r="F46" s="67">
        <f t="shared" si="194"/>
        <v>4.3442136498516318E-2</v>
      </c>
      <c r="G46" s="18">
        <f t="shared" si="194"/>
        <v>4.5721265537805665E-2</v>
      </c>
      <c r="H46" s="18">
        <f t="shared" si="194"/>
        <v>6.4524936294139065E-2</v>
      </c>
      <c r="I46" s="18">
        <f t="shared" si="194"/>
        <v>5.193612357791462E-2</v>
      </c>
      <c r="J46" s="18">
        <f t="shared" si="194"/>
        <v>5.2118328581546115E-2</v>
      </c>
      <c r="K46" s="67">
        <f t="shared" si="194"/>
        <v>5.3546537203792724E-2</v>
      </c>
      <c r="L46" s="18">
        <f t="shared" si="194"/>
        <v>5.951660488690521E-2</v>
      </c>
      <c r="M46" s="18">
        <f t="shared" si="194"/>
        <v>6.6132085580597924E-2</v>
      </c>
      <c r="N46" s="18">
        <f t="shared" si="194"/>
        <v>6.0230278010707607E-2</v>
      </c>
      <c r="O46" s="18">
        <f t="shared" si="194"/>
        <v>5.6964635529436022E-2</v>
      </c>
      <c r="P46" s="67">
        <f t="shared" si="194"/>
        <v>6.0678552096247534E-2</v>
      </c>
      <c r="Q46" s="18">
        <f t="shared" si="194"/>
        <v>7.0229915433403803E-2</v>
      </c>
      <c r="R46" s="18">
        <f t="shared" si="194"/>
        <v>9.6075275473566923E-2</v>
      </c>
      <c r="S46" s="18">
        <f t="shared" si="194"/>
        <v>8.2692979392245902E-2</v>
      </c>
      <c r="T46" s="18">
        <f t="shared" si="194"/>
        <v>7.9199896855948276E-2</v>
      </c>
      <c r="U46" s="67">
        <f t="shared" si="194"/>
        <v>8.1535713901470727E-2</v>
      </c>
      <c r="V46" s="18">
        <f t="shared" si="194"/>
        <v>8.4719943754394192E-2</v>
      </c>
      <c r="W46" s="18">
        <f t="shared" si="194"/>
        <v>7.3329566742989682E-2</v>
      </c>
      <c r="X46" s="18">
        <f t="shared" si="194"/>
        <v>5.6722925985791074E-2</v>
      </c>
      <c r="Y46" s="18">
        <f t="shared" si="194"/>
        <v>5.2512749418230427E-2</v>
      </c>
      <c r="Z46" s="67">
        <f t="shared" si="194"/>
        <v>6.3824952548988151E-2</v>
      </c>
      <c r="AA46" s="18">
        <f t="shared" si="194"/>
        <v>4.9500790331939416E-2</v>
      </c>
      <c r="AB46" s="18">
        <f t="shared" si="194"/>
        <v>4.7951384332764732E-2</v>
      </c>
      <c r="AC46" s="18">
        <f t="shared" si="194"/>
        <v>4.3823219488005952E-2</v>
      </c>
      <c r="AD46" s="18">
        <f t="shared" si="194"/>
        <v>4.2744729769113692E-2</v>
      </c>
      <c r="AE46" s="67">
        <f t="shared" si="194"/>
        <v>4.5799419156048071E-2</v>
      </c>
      <c r="AF46" s="18">
        <f t="shared" si="194"/>
        <v>4.1658549256445222E-2</v>
      </c>
      <c r="AG46" s="18">
        <f t="shared" si="194"/>
        <v>4.2442741450187421E-2</v>
      </c>
      <c r="AH46" s="18">
        <f t="shared" ref="AH46:BM46" si="195">AH10/AH5</f>
        <v>3.6993458200909331E-2</v>
      </c>
      <c r="AI46" s="18">
        <f t="shared" si="195"/>
        <v>4.877611528649245E-2</v>
      </c>
      <c r="AJ46" s="67">
        <f t="shared" si="195"/>
        <v>4.2389001080835084E-2</v>
      </c>
      <c r="AK46" s="18">
        <f t="shared" si="195"/>
        <v>4.1367058624481853E-2</v>
      </c>
      <c r="AL46" s="18">
        <f t="shared" si="195"/>
        <v>4.0702618168411912E-2</v>
      </c>
      <c r="AM46" s="18">
        <f t="shared" si="195"/>
        <v>3.9505785584832011E-2</v>
      </c>
      <c r="AN46" s="18">
        <f t="shared" si="195"/>
        <v>4.3277723849776017E-2</v>
      </c>
      <c r="AO46" s="67">
        <f t="shared" si="195"/>
        <v>4.1189196863127553E-2</v>
      </c>
      <c r="AP46" s="18">
        <f t="shared" si="195"/>
        <v>4.2004983145244028E-2</v>
      </c>
      <c r="AQ46" s="18">
        <f t="shared" si="195"/>
        <v>4.186697467274355E-2</v>
      </c>
      <c r="AR46" s="18">
        <f t="shared" si="195"/>
        <v>3.7545516927037684E-2</v>
      </c>
      <c r="AS46" s="18">
        <f t="shared" si="195"/>
        <v>3.8230103856279112E-2</v>
      </c>
      <c r="AT46" s="67">
        <f t="shared" si="195"/>
        <v>3.9796994668966738E-2</v>
      </c>
      <c r="AU46" s="18">
        <f t="shared" si="195"/>
        <v>3.7942299959790912E-2</v>
      </c>
      <c r="AV46" s="18">
        <f t="shared" si="195"/>
        <v>3.3860966751439583E-2</v>
      </c>
      <c r="AW46" s="18">
        <f t="shared" si="195"/>
        <v>3.1686656456202444E-2</v>
      </c>
      <c r="AX46" s="18">
        <f t="shared" si="195"/>
        <v>3.8635936787314536E-2</v>
      </c>
      <c r="AY46" s="67">
        <f t="shared" si="195"/>
        <v>3.5359189583529814E-2</v>
      </c>
      <c r="AZ46" s="18">
        <f t="shared" si="195"/>
        <v>3.8765150930286423E-2</v>
      </c>
      <c r="BA46" s="18">
        <f t="shared" si="195"/>
        <v>3.8328711523931212E-2</v>
      </c>
      <c r="BB46" s="18">
        <f t="shared" si="195"/>
        <v>3.9320795287519215E-2</v>
      </c>
      <c r="BC46" s="18">
        <f t="shared" si="195"/>
        <v>3.6448534740344353E-2</v>
      </c>
      <c r="BD46" s="67">
        <f t="shared" si="195"/>
        <v>3.8157454036234328E-2</v>
      </c>
      <c r="BE46" s="18">
        <f t="shared" si="195"/>
        <v>3.7877038685166141E-2</v>
      </c>
      <c r="BF46" s="18">
        <f t="shared" si="195"/>
        <v>3.2855677052735309E-2</v>
      </c>
      <c r="BG46" s="18">
        <f t="shared" si="195"/>
        <v>3.4089375087553962E-2</v>
      </c>
      <c r="BH46" s="18">
        <f t="shared" si="195"/>
        <v>3.7263020869396632E-2</v>
      </c>
      <c r="BI46" s="67">
        <f t="shared" si="195"/>
        <v>3.5347710146079639E-2</v>
      </c>
      <c r="BJ46" s="18">
        <f t="shared" si="195"/>
        <v>3.7558633261454324E-2</v>
      </c>
      <c r="BK46" s="18">
        <f t="shared" si="195"/>
        <v>3.5143963076595758E-2</v>
      </c>
      <c r="BL46" s="18">
        <f t="shared" si="195"/>
        <v>3.7825596470845754E-2</v>
      </c>
      <c r="BM46" s="18">
        <f t="shared" si="195"/>
        <v>4.9337829608151466E-2</v>
      </c>
      <c r="BN46" s="67">
        <f t="shared" ref="BN46:CI46" si="196">BN10/BN5</f>
        <v>3.9602732838587437E-2</v>
      </c>
      <c r="BO46" s="18">
        <f t="shared" si="196"/>
        <v>6.1181347544969483E-2</v>
      </c>
      <c r="BP46" s="18">
        <f t="shared" si="196"/>
        <v>5.6802531276716819E-2</v>
      </c>
      <c r="BQ46" s="18">
        <f t="shared" si="196"/>
        <v>5.7632360894214585E-2</v>
      </c>
      <c r="BR46" s="18">
        <f t="shared" si="196"/>
        <v>6.1436207509449593E-2</v>
      </c>
      <c r="BS46" s="67">
        <f t="shared" si="196"/>
        <v>5.9140517016448589E-2</v>
      </c>
      <c r="BT46" s="18">
        <f t="shared" si="196"/>
        <v>7.4959276526428129E-2</v>
      </c>
      <c r="BU46" s="18">
        <f t="shared" si="196"/>
        <v>5.8452621528890629E-2</v>
      </c>
      <c r="BV46" s="18">
        <f t="shared" si="196"/>
        <v>5.4427664779346879E-2</v>
      </c>
      <c r="BW46" s="18">
        <f t="shared" si="196"/>
        <v>5.1219439740961888E-2</v>
      </c>
      <c r="BX46" s="67">
        <f t="shared" si="196"/>
        <v>5.8783700500697915E-2</v>
      </c>
      <c r="BY46" s="18">
        <f t="shared" si="196"/>
        <v>5.4640681742552481E-2</v>
      </c>
      <c r="BZ46" s="18">
        <f t="shared" si="196"/>
        <v>5.1641562942274885E-2</v>
      </c>
      <c r="CA46" s="18">
        <f t="shared" si="196"/>
        <v>5.456415666622709E-2</v>
      </c>
      <c r="CB46" s="18">
        <f t="shared" si="196"/>
        <v>5.3272312719670097E-2</v>
      </c>
      <c r="CC46" s="67">
        <f t="shared" si="196"/>
        <v>5.3516421833714391E-2</v>
      </c>
      <c r="CD46" s="18">
        <f t="shared" si="196"/>
        <v>5.5067990345397985E-2</v>
      </c>
      <c r="CE46" s="18">
        <f t="shared" si="196"/>
        <v>5.0421327080841224E-2</v>
      </c>
      <c r="CF46" s="18">
        <f t="shared" si="196"/>
        <v>5.5537727145092058E-2</v>
      </c>
      <c r="CG46" s="18">
        <f t="shared" si="196"/>
        <v>5.3594931927001044E-2</v>
      </c>
      <c r="CH46" s="67">
        <f>CH10/CH5</f>
        <v>5.3613487349489036E-2</v>
      </c>
      <c r="CI46" s="18">
        <f t="shared" si="196"/>
        <v>6.074187583171551E-2</v>
      </c>
      <c r="CJ46" s="18">
        <f t="shared" ref="CJ46" si="197">CJ10/CJ5</f>
        <v>5.9378594056551881E-2</v>
      </c>
      <c r="CK46" s="18">
        <f>CK10/CK5</f>
        <v>7.3798693434991916E-2</v>
      </c>
      <c r="CL46" s="18">
        <f>CL10/CL5</f>
        <v>7.4143589846533714E-2</v>
      </c>
      <c r="CM46" s="67">
        <f>CM10/CM5</f>
        <v>6.654994916263994E-2</v>
      </c>
      <c r="CN46" s="18">
        <f>CN10/CN5</f>
        <v>9.1258645524564599E-2</v>
      </c>
      <c r="CO46" s="18">
        <f>CO10/CO5</f>
        <v>8.7279007937278039E-2</v>
      </c>
      <c r="CP46" s="18"/>
      <c r="CQ46" s="18"/>
      <c r="CR46" s="67">
        <f>CR10/CR5</f>
        <v>8.9246822353989175E-2</v>
      </c>
    </row>
    <row r="47" spans="1:96" s="19" customFormat="1" ht="11.15" customHeight="1" x14ac:dyDescent="0.2">
      <c r="A47" s="20" t="s">
        <v>16</v>
      </c>
      <c r="B47" s="18">
        <f t="shared" ref="B47:AG47" si="198">B11/B5</f>
        <v>3.7717985523623369E-2</v>
      </c>
      <c r="C47" s="18">
        <f t="shared" si="198"/>
        <v>4.3095948297290576E-2</v>
      </c>
      <c r="D47" s="18">
        <f t="shared" si="198"/>
        <v>4.6739040358001159E-2</v>
      </c>
      <c r="E47" s="18">
        <f t="shared" si="198"/>
        <v>5.2972895930826422E-2</v>
      </c>
      <c r="F47" s="67">
        <f t="shared" si="198"/>
        <v>4.5690347355559435E-2</v>
      </c>
      <c r="G47" s="18">
        <f t="shared" si="198"/>
        <v>5.0990347998946181E-2</v>
      </c>
      <c r="H47" s="18">
        <f t="shared" si="198"/>
        <v>5.4331998543866035E-2</v>
      </c>
      <c r="I47" s="18">
        <f t="shared" si="198"/>
        <v>4.9138920780711824E-2</v>
      </c>
      <c r="J47" s="18">
        <f t="shared" si="198"/>
        <v>4.8232153558392506E-2</v>
      </c>
      <c r="K47" s="67">
        <f t="shared" si="198"/>
        <v>5.0493700875040411E-2</v>
      </c>
      <c r="L47" s="18">
        <f t="shared" si="198"/>
        <v>5.43535819653529E-2</v>
      </c>
      <c r="M47" s="18">
        <f t="shared" si="198"/>
        <v>7.9419223488230883E-2</v>
      </c>
      <c r="N47" s="18">
        <f t="shared" si="198"/>
        <v>6.6600012900728894E-2</v>
      </c>
      <c r="O47" s="18">
        <f t="shared" si="198"/>
        <v>7.4801525930508303E-2</v>
      </c>
      <c r="P47" s="67">
        <f t="shared" si="198"/>
        <v>6.8990204124395396E-2</v>
      </c>
      <c r="Q47" s="18">
        <f t="shared" si="198"/>
        <v>9.1217406624383365E-2</v>
      </c>
      <c r="R47" s="18">
        <f t="shared" si="198"/>
        <v>0.11722174074532624</v>
      </c>
      <c r="S47" s="18">
        <f t="shared" si="198"/>
        <v>9.9742403073698915E-2</v>
      </c>
      <c r="T47" s="18">
        <f t="shared" si="198"/>
        <v>9.3897924225959148E-2</v>
      </c>
      <c r="U47" s="67">
        <f t="shared" si="198"/>
        <v>9.9750395386618174E-2</v>
      </c>
      <c r="V47" s="18">
        <f t="shared" si="198"/>
        <v>8.1204593391141319E-2</v>
      </c>
      <c r="W47" s="18">
        <f t="shared" si="198"/>
        <v>7.0311338428142384E-2</v>
      </c>
      <c r="X47" s="18">
        <f t="shared" si="198"/>
        <v>6.2411507474094401E-2</v>
      </c>
      <c r="Y47" s="18">
        <f t="shared" si="198"/>
        <v>5.240382234985394E-2</v>
      </c>
      <c r="Z47" s="67">
        <f t="shared" si="198"/>
        <v>6.4025449782126334E-2</v>
      </c>
      <c r="AA47" s="18">
        <f t="shared" si="198"/>
        <v>5.7334080313731765E-2</v>
      </c>
      <c r="AB47" s="18">
        <f t="shared" si="198"/>
        <v>5.4208765253903689E-2</v>
      </c>
      <c r="AC47" s="18">
        <f t="shared" si="198"/>
        <v>5.0370358891712638E-2</v>
      </c>
      <c r="AD47" s="18">
        <f t="shared" si="198"/>
        <v>5.3269000356206082E-2</v>
      </c>
      <c r="AE47" s="67">
        <f t="shared" si="198"/>
        <v>5.3578428686441214E-2</v>
      </c>
      <c r="AF47" s="18">
        <f t="shared" si="198"/>
        <v>5.7958308981102671E-2</v>
      </c>
      <c r="AG47" s="18">
        <f t="shared" si="198"/>
        <v>5.2411783044654055E-2</v>
      </c>
      <c r="AH47" s="18">
        <f t="shared" ref="AH47:BM47" si="199">AH11/AH5</f>
        <v>4.9635820666457775E-2</v>
      </c>
      <c r="AI47" s="18">
        <f t="shared" si="199"/>
        <v>6.3917810108253467E-2</v>
      </c>
      <c r="AJ47" s="67">
        <f t="shared" si="199"/>
        <v>5.5821221343648669E-2</v>
      </c>
      <c r="AK47" s="18">
        <f t="shared" si="199"/>
        <v>6.2022389532752444E-2</v>
      </c>
      <c r="AL47" s="18">
        <f t="shared" si="199"/>
        <v>6.2335361031331207E-2</v>
      </c>
      <c r="AM47" s="18">
        <f t="shared" si="199"/>
        <v>6.6807240113388164E-2</v>
      </c>
      <c r="AN47" s="18">
        <f t="shared" si="199"/>
        <v>6.5585828926980144E-2</v>
      </c>
      <c r="AO47" s="67">
        <f t="shared" si="199"/>
        <v>6.4286750386553793E-2</v>
      </c>
      <c r="AP47" s="18">
        <f t="shared" si="199"/>
        <v>7.494650447017441E-2</v>
      </c>
      <c r="AQ47" s="18">
        <f t="shared" si="199"/>
        <v>6.9519885122057812E-2</v>
      </c>
      <c r="AR47" s="18">
        <f t="shared" si="199"/>
        <v>6.7352530165138161E-2</v>
      </c>
      <c r="AS47" s="18">
        <f t="shared" si="199"/>
        <v>6.6585664554825896E-2</v>
      </c>
      <c r="AT47" s="67">
        <f t="shared" si="199"/>
        <v>6.9369680657598021E-2</v>
      </c>
      <c r="AU47" s="18">
        <f t="shared" si="199"/>
        <v>7.1521913952553279E-2</v>
      </c>
      <c r="AV47" s="18">
        <f t="shared" si="199"/>
        <v>6.427714788762344E-2</v>
      </c>
      <c r="AW47" s="18">
        <f t="shared" si="199"/>
        <v>6.6604801655573392E-2</v>
      </c>
      <c r="AX47" s="18">
        <f t="shared" si="199"/>
        <v>7.9458560274744433E-2</v>
      </c>
      <c r="AY47" s="67">
        <f t="shared" si="199"/>
        <v>7.0272339434017742E-2</v>
      </c>
      <c r="AZ47" s="18">
        <f t="shared" si="199"/>
        <v>8.4386821585733032E-2</v>
      </c>
      <c r="BA47" s="18">
        <f t="shared" si="199"/>
        <v>7.2836024004398967E-2</v>
      </c>
      <c r="BB47" s="18">
        <f t="shared" si="199"/>
        <v>7.7224387915058063E-2</v>
      </c>
      <c r="BC47" s="18">
        <f t="shared" si="199"/>
        <v>7.8923036830512522E-2</v>
      </c>
      <c r="BD47" s="67">
        <f t="shared" si="199"/>
        <v>7.8070073436675408E-2</v>
      </c>
      <c r="BE47" s="18">
        <f t="shared" si="199"/>
        <v>7.9693261406491606E-2</v>
      </c>
      <c r="BF47" s="18">
        <f t="shared" si="199"/>
        <v>7.0281260406147711E-2</v>
      </c>
      <c r="BG47" s="18">
        <f t="shared" si="199"/>
        <v>6.5053551188823652E-2</v>
      </c>
      <c r="BH47" s="18">
        <f t="shared" si="199"/>
        <v>7.3642519837697859E-2</v>
      </c>
      <c r="BI47" s="67">
        <f t="shared" si="199"/>
        <v>7.1595420221181372E-2</v>
      </c>
      <c r="BJ47" s="18">
        <f t="shared" si="199"/>
        <v>7.9324411444323409E-2</v>
      </c>
      <c r="BK47" s="18">
        <f t="shared" si="199"/>
        <v>7.6914893874225426E-2</v>
      </c>
      <c r="BL47" s="18">
        <f t="shared" si="199"/>
        <v>8.6738731457628254E-2</v>
      </c>
      <c r="BM47" s="18">
        <f t="shared" si="199"/>
        <v>9.5442825502725342E-2</v>
      </c>
      <c r="BN47" s="67">
        <f t="shared" ref="BN47:CI47" si="200">BN11/BN5</f>
        <v>8.4095613731048027E-2</v>
      </c>
      <c r="BO47" s="18">
        <f t="shared" si="200"/>
        <v>0.10314651464702092</v>
      </c>
      <c r="BP47" s="18">
        <f t="shared" si="200"/>
        <v>9.586303395836368E-2</v>
      </c>
      <c r="BQ47" s="18">
        <f t="shared" si="200"/>
        <v>9.7709775231058102E-2</v>
      </c>
      <c r="BR47" s="18">
        <f t="shared" si="200"/>
        <v>9.9368287854624676E-2</v>
      </c>
      <c r="BS47" s="67">
        <f t="shared" si="200"/>
        <v>9.8888543193610734E-2</v>
      </c>
      <c r="BT47" s="18">
        <f t="shared" si="200"/>
        <v>0.12773930557450189</v>
      </c>
      <c r="BU47" s="18">
        <f t="shared" si="200"/>
        <v>0.10655474999240919</v>
      </c>
      <c r="BV47" s="18">
        <f t="shared" si="200"/>
        <v>9.9578885884669371E-2</v>
      </c>
      <c r="BW47" s="18">
        <f t="shared" si="200"/>
        <v>9.4364732792680386E-2</v>
      </c>
      <c r="BX47" s="67">
        <f t="shared" si="200"/>
        <v>0.10568457030924676</v>
      </c>
      <c r="BY47" s="18">
        <f t="shared" si="200"/>
        <v>9.6471201006988153E-2</v>
      </c>
      <c r="BZ47" s="18">
        <f t="shared" si="200"/>
        <v>9.4686512869358391E-2</v>
      </c>
      <c r="CA47" s="18">
        <f t="shared" si="200"/>
        <v>9.0404852960569701E-2</v>
      </c>
      <c r="CB47" s="18">
        <f t="shared" si="200"/>
        <v>0.10087607382835757</v>
      </c>
      <c r="CC47" s="67">
        <f t="shared" si="200"/>
        <v>9.5541667237106914E-2</v>
      </c>
      <c r="CD47" s="18">
        <f t="shared" si="200"/>
        <v>9.0410536814251624E-2</v>
      </c>
      <c r="CE47" s="18">
        <f t="shared" si="200"/>
        <v>8.1183376080504369E-2</v>
      </c>
      <c r="CF47" s="18">
        <f t="shared" si="200"/>
        <v>7.288126851687364E-2</v>
      </c>
      <c r="CG47" s="18">
        <f t="shared" si="200"/>
        <v>7.9810756763077181E-2</v>
      </c>
      <c r="CH47" s="67">
        <f>CH11/CH5</f>
        <v>8.1224331903742938E-2</v>
      </c>
      <c r="CI47" s="18">
        <f t="shared" si="200"/>
        <v>6.5586708682101771E-2</v>
      </c>
      <c r="CJ47" s="18">
        <f t="shared" ref="CJ47" si="201">CJ11/CJ5</f>
        <v>6.9158840018707479E-2</v>
      </c>
      <c r="CK47" s="18">
        <f>CK11/CK5</f>
        <v>8.1977166631829357E-2</v>
      </c>
      <c r="CL47" s="18">
        <f>CL11/CL5</f>
        <v>9.2722144713994634E-2</v>
      </c>
      <c r="CM47" s="67">
        <f>CM11/CM5</f>
        <v>7.6666933345968233E-2</v>
      </c>
      <c r="CN47" s="18">
        <f>CN11/CN5</f>
        <v>0.11658710601605499</v>
      </c>
      <c r="CO47" s="18">
        <f>CO11/CO5</f>
        <v>0.10668555570649538</v>
      </c>
      <c r="CP47" s="18"/>
      <c r="CQ47" s="18"/>
      <c r="CR47" s="67">
        <f>CR11/CR5</f>
        <v>0.11158158279931091</v>
      </c>
    </row>
    <row r="48" spans="1:96" s="19" customFormat="1" ht="11.15" customHeight="1" x14ac:dyDescent="0.2">
      <c r="A48" s="20" t="s">
        <v>19</v>
      </c>
      <c r="B48" s="18">
        <f t="shared" ref="B48:AG48" si="202">B12/B5</f>
        <v>8.1208197171914603E-2</v>
      </c>
      <c r="C48" s="18">
        <f t="shared" si="202"/>
        <v>9.7999005717126525E-2</v>
      </c>
      <c r="D48" s="18">
        <f t="shared" si="202"/>
        <v>9.7759730394188005E-2</v>
      </c>
      <c r="E48" s="18">
        <f t="shared" si="202"/>
        <v>0.1228116017768487</v>
      </c>
      <c r="F48" s="67">
        <f t="shared" si="202"/>
        <v>0.10139291324838541</v>
      </c>
      <c r="G48" s="18">
        <f t="shared" si="202"/>
        <v>0.10157353962589515</v>
      </c>
      <c r="H48" s="18">
        <f t="shared" si="202"/>
        <v>0.11351019293775028</v>
      </c>
      <c r="I48" s="18">
        <f t="shared" si="202"/>
        <v>8.4521448700553184E-2</v>
      </c>
      <c r="J48" s="18">
        <f t="shared" si="202"/>
        <v>0.10440009443042113</v>
      </c>
      <c r="K48" s="67">
        <f t="shared" si="202"/>
        <v>0.10084960011024131</v>
      </c>
      <c r="L48" s="18">
        <f t="shared" si="202"/>
        <v>0.12126484605492095</v>
      </c>
      <c r="M48" s="18">
        <f t="shared" si="202"/>
        <v>0.10295745972782798</v>
      </c>
      <c r="N48" s="18">
        <f t="shared" si="202"/>
        <v>9.7755273172934268E-2</v>
      </c>
      <c r="O48" s="18">
        <f t="shared" si="202"/>
        <v>8.521497061552738E-2</v>
      </c>
      <c r="P48" s="67">
        <f t="shared" si="202"/>
        <v>0.10126770154883095</v>
      </c>
      <c r="Q48" s="18">
        <f t="shared" si="202"/>
        <v>0.10989252995066949</v>
      </c>
      <c r="R48" s="18">
        <f t="shared" si="202"/>
        <v>0.12242169122198836</v>
      </c>
      <c r="S48" s="18">
        <f t="shared" si="202"/>
        <v>0.10386831994411456</v>
      </c>
      <c r="T48" s="18">
        <f t="shared" si="202"/>
        <v>0.10677251211021678</v>
      </c>
      <c r="U48" s="67">
        <f t="shared" si="202"/>
        <v>0.11021872680129537</v>
      </c>
      <c r="V48" s="18">
        <f t="shared" si="202"/>
        <v>0.13334895711272557</v>
      </c>
      <c r="W48" s="18">
        <f t="shared" si="202"/>
        <v>0.1097861964375985</v>
      </c>
      <c r="X48" s="18">
        <f t="shared" si="202"/>
        <v>9.7733338345299403E-2</v>
      </c>
      <c r="Y48" s="18">
        <f t="shared" si="202"/>
        <v>6.5683022231024416E-2</v>
      </c>
      <c r="Z48" s="67">
        <f t="shared" si="202"/>
        <v>9.5720720720720714E-2</v>
      </c>
      <c r="AA48" s="18">
        <f t="shared" si="202"/>
        <v>8.1724324216170791E-2</v>
      </c>
      <c r="AB48" s="18">
        <f t="shared" si="202"/>
        <v>6.8339128723264669E-2</v>
      </c>
      <c r="AC48" s="18">
        <f t="shared" si="202"/>
        <v>8.5205789375813551E-2</v>
      </c>
      <c r="AD48" s="18">
        <f t="shared" si="202"/>
        <v>8.0494478805738151E-2</v>
      </c>
      <c r="AE48" s="67">
        <f t="shared" si="202"/>
        <v>7.8911318026816613E-2</v>
      </c>
      <c r="AF48" s="18">
        <f t="shared" si="202"/>
        <v>8.0760114293135912E-2</v>
      </c>
      <c r="AG48" s="18">
        <f t="shared" si="202"/>
        <v>6.3337852632189495E-2</v>
      </c>
      <c r="AH48" s="18">
        <f t="shared" ref="AH48:BM48" si="203">AH12/AH5</f>
        <v>6.7841589983309775E-2</v>
      </c>
      <c r="AI48" s="18">
        <f t="shared" si="203"/>
        <v>6.8516858580983248E-2</v>
      </c>
      <c r="AJ48" s="67">
        <f t="shared" si="203"/>
        <v>6.9740528471471636E-2</v>
      </c>
      <c r="AK48" s="18">
        <f t="shared" si="203"/>
        <v>8.3255787722414917E-2</v>
      </c>
      <c r="AL48" s="18">
        <f t="shared" si="203"/>
        <v>7.6285447550410002E-2</v>
      </c>
      <c r="AM48" s="18">
        <f t="shared" si="203"/>
        <v>7.6531204981644133E-2</v>
      </c>
      <c r="AN48" s="18">
        <f t="shared" si="203"/>
        <v>7.8675260311469375E-2</v>
      </c>
      <c r="AO48" s="67">
        <f t="shared" si="203"/>
        <v>7.8488165744389951E-2</v>
      </c>
      <c r="AP48" s="18">
        <f t="shared" si="203"/>
        <v>7.5720357613952807E-2</v>
      </c>
      <c r="AQ48" s="18">
        <f t="shared" si="203"/>
        <v>6.8281617448128037E-2</v>
      </c>
      <c r="AR48" s="18">
        <f t="shared" si="203"/>
        <v>7.0983866847649152E-2</v>
      </c>
      <c r="AS48" s="18">
        <f t="shared" si="203"/>
        <v>7.2930829982353118E-2</v>
      </c>
      <c r="AT48" s="67">
        <f t="shared" si="203"/>
        <v>7.1883216078313189E-2</v>
      </c>
      <c r="AU48" s="18">
        <f t="shared" si="203"/>
        <v>6.4223964616003215E-2</v>
      </c>
      <c r="AV48" s="18">
        <f t="shared" si="203"/>
        <v>6.3864624178142204E-2</v>
      </c>
      <c r="AW48" s="18">
        <f t="shared" si="203"/>
        <v>6.0273218883062814E-2</v>
      </c>
      <c r="AX48" s="18">
        <f t="shared" si="203"/>
        <v>6.5815245096723998E-2</v>
      </c>
      <c r="AY48" s="67">
        <f t="shared" si="203"/>
        <v>6.3457473662019495E-2</v>
      </c>
      <c r="AZ48" s="18">
        <f t="shared" si="203"/>
        <v>6.707422990812939E-2</v>
      </c>
      <c r="BA48" s="18">
        <f t="shared" si="203"/>
        <v>6.3891734938901129E-2</v>
      </c>
      <c r="BB48" s="18">
        <f t="shared" si="203"/>
        <v>6.3142581113237117E-2</v>
      </c>
      <c r="BC48" s="18">
        <f t="shared" si="203"/>
        <v>7.0101848843892464E-2</v>
      </c>
      <c r="BD48" s="67">
        <f t="shared" si="203"/>
        <v>6.6078099889382846E-2</v>
      </c>
      <c r="BE48" s="18">
        <f t="shared" si="203"/>
        <v>6.2012412277939868E-2</v>
      </c>
      <c r="BF48" s="18">
        <f t="shared" si="203"/>
        <v>5.3807397941917794E-2</v>
      </c>
      <c r="BG48" s="18">
        <f t="shared" si="203"/>
        <v>5.4738102212090724E-2</v>
      </c>
      <c r="BH48" s="18">
        <f t="shared" si="203"/>
        <v>5.9758208583179845E-2</v>
      </c>
      <c r="BI48" s="67">
        <f t="shared" si="203"/>
        <v>5.7256462361477731E-2</v>
      </c>
      <c r="BJ48" s="18">
        <f t="shared" si="203"/>
        <v>7.0846208567681118E-2</v>
      </c>
      <c r="BK48" s="18">
        <f t="shared" si="203"/>
        <v>5.83081286129788E-2</v>
      </c>
      <c r="BL48" s="18">
        <f t="shared" si="203"/>
        <v>7.0844067282921655E-2</v>
      </c>
      <c r="BM48" s="18">
        <f t="shared" si="203"/>
        <v>8.3538604639888991E-2</v>
      </c>
      <c r="BN48" s="67">
        <f t="shared" ref="BN48:CI48" si="204">BN12/BN5</f>
        <v>7.0162904469837806E-2</v>
      </c>
      <c r="BO48" s="18">
        <f t="shared" si="204"/>
        <v>8.6374413976327336E-2</v>
      </c>
      <c r="BP48" s="18">
        <f t="shared" si="204"/>
        <v>7.845088503968177E-2</v>
      </c>
      <c r="BQ48" s="18">
        <f t="shared" si="204"/>
        <v>8.1351894949838674E-2</v>
      </c>
      <c r="BR48" s="18">
        <f t="shared" si="204"/>
        <v>8.1763836844113535E-2</v>
      </c>
      <c r="BS48" s="67">
        <f t="shared" si="204"/>
        <v>8.1848893297560205E-2</v>
      </c>
      <c r="BT48" s="18">
        <f t="shared" si="204"/>
        <v>0.10882596031166497</v>
      </c>
      <c r="BU48" s="18">
        <f t="shared" si="204"/>
        <v>8.9062146816413695E-2</v>
      </c>
      <c r="BV48" s="18">
        <f t="shared" si="204"/>
        <v>9.1188006569505806E-2</v>
      </c>
      <c r="BW48" s="18">
        <f t="shared" si="204"/>
        <v>8.1525710720969605E-2</v>
      </c>
      <c r="BX48" s="67">
        <f t="shared" si="204"/>
        <v>9.1615558612970174E-2</v>
      </c>
      <c r="BY48" s="18">
        <f t="shared" si="204"/>
        <v>8.7075538579510101E-2</v>
      </c>
      <c r="BZ48" s="18">
        <f t="shared" si="204"/>
        <v>8.358759935209252E-2</v>
      </c>
      <c r="CA48" s="18">
        <f t="shared" si="204"/>
        <v>8.5868389819332716E-2</v>
      </c>
      <c r="CB48" s="18">
        <f t="shared" si="204"/>
        <v>8.8257647468769462E-2</v>
      </c>
      <c r="CC48" s="67">
        <f t="shared" si="204"/>
        <v>8.6169790397437121E-2</v>
      </c>
      <c r="CD48" s="18">
        <f t="shared" si="204"/>
        <v>8.2880379697226059E-2</v>
      </c>
      <c r="CE48" s="18">
        <f t="shared" si="204"/>
        <v>8.8617935775801474E-2</v>
      </c>
      <c r="CF48" s="18">
        <f t="shared" si="204"/>
        <v>9.6883721196770259E-2</v>
      </c>
      <c r="CG48" s="18">
        <f t="shared" si="204"/>
        <v>0.10003327946656913</v>
      </c>
      <c r="CH48" s="67">
        <f t="shared" si="204"/>
        <v>9.1814399946276687E-2</v>
      </c>
      <c r="CI48" s="18">
        <f t="shared" si="204"/>
        <v>8.6780692102519194E-2</v>
      </c>
      <c r="CJ48" s="18">
        <f t="shared" ref="CJ48" si="205">CJ12/CJ5</f>
        <v>8.7242735409784958E-2</v>
      </c>
      <c r="CK48" s="18">
        <f>CK12/CK5</f>
        <v>0.10271366053861798</v>
      </c>
      <c r="CL48" s="18">
        <f>CL12/CL5</f>
        <v>0.11710879813177291</v>
      </c>
      <c r="CM48" s="67">
        <f t="shared" ref="CM48" si="206">CM12/CM5</f>
        <v>9.7673753863289831E-2</v>
      </c>
      <c r="CN48" s="18">
        <f>CN12/CN5</f>
        <v>0.12363844148423271</v>
      </c>
      <c r="CO48" s="18">
        <f>CO12/CO5</f>
        <v>0.12265714452056124</v>
      </c>
      <c r="CP48" s="18"/>
      <c r="CQ48" s="18"/>
      <c r="CR48" s="67">
        <f t="shared" ref="CR48" si="207">CR12/CR5</f>
        <v>0.12314236717459295</v>
      </c>
    </row>
    <row r="49" spans="1:96" s="19" customFormat="1" ht="11.15" customHeight="1" x14ac:dyDescent="0.2">
      <c r="A49" s="17" t="s">
        <v>18</v>
      </c>
      <c r="B49" s="18">
        <f t="shared" ref="B49:AG49" si="208">B28/B27</f>
        <v>0.36482393032942068</v>
      </c>
      <c r="C49" s="18">
        <f t="shared" si="208"/>
        <v>0.28381147540983609</v>
      </c>
      <c r="D49" s="18">
        <f t="shared" si="208"/>
        <v>0.34180225281602</v>
      </c>
      <c r="E49" s="18">
        <f t="shared" si="208"/>
        <v>-1.196756082345602</v>
      </c>
      <c r="F49" s="67">
        <f t="shared" si="208"/>
        <v>-0.10651161136598029</v>
      </c>
      <c r="G49" s="18">
        <f t="shared" si="208"/>
        <v>0.3921858684302123</v>
      </c>
      <c r="H49" s="18">
        <f t="shared" si="208"/>
        <v>0.35349975526186977</v>
      </c>
      <c r="I49" s="18">
        <f t="shared" si="208"/>
        <v>0.26311838450566777</v>
      </c>
      <c r="J49" s="18">
        <f t="shared" si="208"/>
        <v>0.30988714035924336</v>
      </c>
      <c r="K49" s="67">
        <f t="shared" si="208"/>
        <v>0.32602394454946437</v>
      </c>
      <c r="L49" s="18">
        <f t="shared" si="208"/>
        <v>0.31996477745757285</v>
      </c>
      <c r="M49" s="18">
        <f t="shared" si="208"/>
        <v>0.31026836914137168</v>
      </c>
      <c r="N49" s="18">
        <f t="shared" si="208"/>
        <v>0.31622201048118154</v>
      </c>
      <c r="O49" s="18">
        <f t="shared" si="208"/>
        <v>0.33420181677346666</v>
      </c>
      <c r="P49" s="67">
        <f t="shared" si="208"/>
        <v>0.32018598401810339</v>
      </c>
      <c r="Q49" s="18">
        <f t="shared" si="208"/>
        <v>0.31002017484868866</v>
      </c>
      <c r="R49" s="18">
        <f t="shared" si="208"/>
        <v>0.31024274718768502</v>
      </c>
      <c r="S49" s="18">
        <f t="shared" si="208"/>
        <v>0.31478681584517687</v>
      </c>
      <c r="T49" s="18">
        <f t="shared" si="208"/>
        <v>0.32311320754716982</v>
      </c>
      <c r="U49" s="67">
        <f t="shared" si="208"/>
        <v>0.31986098596988027</v>
      </c>
      <c r="V49" s="18">
        <f t="shared" si="208"/>
        <v>0.32291872651769826</v>
      </c>
      <c r="W49" s="18">
        <f t="shared" si="208"/>
        <v>0.33232218923454243</v>
      </c>
      <c r="X49" s="18">
        <f t="shared" si="208"/>
        <v>0.32999547124238915</v>
      </c>
      <c r="Y49" s="18">
        <f t="shared" si="208"/>
        <v>0.29772329246935203</v>
      </c>
      <c r="Z49" s="67">
        <f t="shared" si="208"/>
        <v>0.31418765457023168</v>
      </c>
      <c r="AA49" s="18">
        <f t="shared" si="208"/>
        <v>0.31038348082595868</v>
      </c>
      <c r="AB49" s="18">
        <f t="shared" si="208"/>
        <v>0.30500286760488815</v>
      </c>
      <c r="AC49" s="18">
        <f t="shared" si="208"/>
        <v>0.3030222909209242</v>
      </c>
      <c r="AD49" s="18">
        <f t="shared" si="208"/>
        <v>0.31022909358624573</v>
      </c>
      <c r="AE49" s="67">
        <f t="shared" si="208"/>
        <v>0.30687233652568391</v>
      </c>
      <c r="AF49" s="18">
        <f t="shared" si="208"/>
        <v>0.30500068253173773</v>
      </c>
      <c r="AG49" s="18">
        <f t="shared" si="208"/>
        <v>0.30050203623086646</v>
      </c>
      <c r="AH49" s="18">
        <f t="shared" ref="AH49:BM49" si="209">AH28/AH27</f>
        <v>0.29588331922942906</v>
      </c>
      <c r="AI49" s="18">
        <f t="shared" si="209"/>
        <v>0.27306042560279847</v>
      </c>
      <c r="AJ49" s="67">
        <f t="shared" si="209"/>
        <v>0.29381736491169369</v>
      </c>
      <c r="AK49" s="18">
        <f t="shared" si="209"/>
        <v>0.29269274912913035</v>
      </c>
      <c r="AL49" s="18">
        <f t="shared" si="209"/>
        <v>0.30001174476938308</v>
      </c>
      <c r="AM49" s="18">
        <f t="shared" si="209"/>
        <v>0.29500116561761081</v>
      </c>
      <c r="AN49" s="18">
        <f t="shared" si="209"/>
        <v>0.25290406875854887</v>
      </c>
      <c r="AO49" s="67">
        <f t="shared" si="209"/>
        <v>0.28639813835025951</v>
      </c>
      <c r="AP49" s="18">
        <f t="shared" si="209"/>
        <v>0.30099682671081679</v>
      </c>
      <c r="AQ49" s="18">
        <f t="shared" si="209"/>
        <v>0.30012465936104832</v>
      </c>
      <c r="AR49" s="18">
        <f t="shared" si="209"/>
        <v>0.29000475902607176</v>
      </c>
      <c r="AS49" s="18">
        <f t="shared" si="209"/>
        <v>0.29244561469500346</v>
      </c>
      <c r="AT49" s="67">
        <f t="shared" si="209"/>
        <v>0.29538376090609336</v>
      </c>
      <c r="AU49" s="18">
        <f t="shared" si="209"/>
        <v>0.30000122065842316</v>
      </c>
      <c r="AV49" s="18">
        <f t="shared" si="209"/>
        <v>0.30000457184656881</v>
      </c>
      <c r="AW49" s="18">
        <f t="shared" si="209"/>
        <v>0.300008923193611</v>
      </c>
      <c r="AX49" s="18">
        <f t="shared" si="209"/>
        <v>0.26492785928016765</v>
      </c>
      <c r="AY49" s="67">
        <f t="shared" si="209"/>
        <v>0.29152908528874527</v>
      </c>
      <c r="AZ49" s="18">
        <f t="shared" si="209"/>
        <v>0.29750206499757897</v>
      </c>
      <c r="BA49" s="18">
        <f t="shared" si="209"/>
        <v>0.29749840178580783</v>
      </c>
      <c r="BB49" s="18">
        <f t="shared" si="209"/>
        <v>0.2686232871646963</v>
      </c>
      <c r="BC49" s="18">
        <f t="shared" si="209"/>
        <v>0.29306710828409049</v>
      </c>
      <c r="BD49" s="67">
        <f t="shared" si="209"/>
        <v>0.28875836820654399</v>
      </c>
      <c r="BE49" s="18">
        <f t="shared" si="209"/>
        <v>0.26000395022713807</v>
      </c>
      <c r="BF49" s="18">
        <f t="shared" si="209"/>
        <v>0.26498061892355596</v>
      </c>
      <c r="BG49" s="18">
        <f t="shared" si="209"/>
        <v>0.2800206781434515</v>
      </c>
      <c r="BH49" s="18">
        <f t="shared" si="209"/>
        <v>0.64320653272425921</v>
      </c>
      <c r="BI49" s="67">
        <f t="shared" si="209"/>
        <v>0.37016440436261372</v>
      </c>
      <c r="BJ49" s="18">
        <f t="shared" si="209"/>
        <v>0.25039829684041337</v>
      </c>
      <c r="BK49" s="18">
        <f t="shared" si="209"/>
        <v>0.25619243330519981</v>
      </c>
      <c r="BL49" s="18">
        <f t="shared" si="209"/>
        <v>0.21391901380978387</v>
      </c>
      <c r="BM49" s="18">
        <f t="shared" si="209"/>
        <v>0.25181182769047739</v>
      </c>
      <c r="BN49" s="67">
        <f t="shared" ref="BN49:BS49" si="210">BN28/BN27</f>
        <v>0.24368865726662861</v>
      </c>
      <c r="BO49" s="18">
        <f t="shared" si="210"/>
        <v>0.24000110714384568</v>
      </c>
      <c r="BP49" s="18">
        <f t="shared" si="210"/>
        <v>0.24298792262967253</v>
      </c>
      <c r="BQ49" s="18">
        <f t="shared" si="210"/>
        <v>0.26153388745976552</v>
      </c>
      <c r="BR49" s="18">
        <f t="shared" si="210"/>
        <v>2.4537162162162161</v>
      </c>
      <c r="BS49" s="67">
        <f t="shared" si="210"/>
        <v>0.27424147260604892</v>
      </c>
      <c r="BT49" s="18">
        <f t="shared" ref="BT49:BU49" si="211">BT28/BT27</f>
        <v>0.23499791926758218</v>
      </c>
      <c r="BU49" s="18">
        <f t="shared" si="211"/>
        <v>0.22514844286464433</v>
      </c>
      <c r="BV49" s="18">
        <f t="shared" ref="BV49" si="212">BV28/BV27</f>
        <v>0.16443252904378911</v>
      </c>
      <c r="BW49" s="18">
        <f>BW28/BW27</f>
        <v>0.2426977254710653</v>
      </c>
      <c r="BX49" s="67">
        <f>BX28/BX27</f>
        <v>0.22049472026136166</v>
      </c>
      <c r="BY49" s="18">
        <f t="shared" ref="BY49" si="213">BY28/BY27</f>
        <v>0.23</v>
      </c>
      <c r="BZ49" s="18">
        <f t="shared" ref="BZ49:CD49" si="214">BZ28/BZ27</f>
        <v>0.24159437484353402</v>
      </c>
      <c r="CA49" s="18">
        <f t="shared" si="214"/>
        <v>0.26395498930897554</v>
      </c>
      <c r="CB49" s="18">
        <f t="shared" si="214"/>
        <v>0.2277895434270773</v>
      </c>
      <c r="CC49" s="67">
        <f t="shared" si="214"/>
        <v>0.2417997113083625</v>
      </c>
      <c r="CD49" s="18">
        <f t="shared" si="214"/>
        <v>0.24999730710815732</v>
      </c>
      <c r="CE49" s="18">
        <f>CE28/CE27</f>
        <v>0.21966789165645842</v>
      </c>
      <c r="CF49" s="18">
        <f>CF28/CF27</f>
        <v>0.21001565589980223</v>
      </c>
      <c r="CG49" s="18">
        <f>CG28/CG27</f>
        <v>-0.16054919794113237</v>
      </c>
      <c r="CH49" s="67">
        <f>CH28/CH27</f>
        <v>0.39590184945814311</v>
      </c>
      <c r="CI49" s="18">
        <f t="shared" ref="CI49:CJ49" si="215">CI28/CI27</f>
        <v>0.27800456237243365</v>
      </c>
      <c r="CJ49" s="18">
        <f t="shared" si="215"/>
        <v>0.23637455276184874</v>
      </c>
      <c r="CK49" s="18">
        <f t="shared" ref="CK49:CL49" si="216">CK28/CK27</f>
        <v>0.18911825420230022</v>
      </c>
      <c r="CL49" s="18">
        <f t="shared" si="216"/>
        <v>1.7199250349915783E-2</v>
      </c>
      <c r="CM49" s="67">
        <f>CM28/CM27</f>
        <v>0.20371805366075488</v>
      </c>
      <c r="CN49" s="18">
        <f>CN28/CN27</f>
        <v>0.28281054699125052</v>
      </c>
      <c r="CO49" s="18">
        <f>CO28/CO27</f>
        <v>0.19422677114984807</v>
      </c>
      <c r="CP49" s="18"/>
      <c r="CQ49" s="18"/>
      <c r="CR49" s="67">
        <f>CR28/CR27</f>
        <v>0.24500972463916471</v>
      </c>
    </row>
    <row r="50" spans="1:96" s="19" customFormat="1" ht="11.15" customHeight="1" x14ac:dyDescent="0.2">
      <c r="A50" s="17" t="s">
        <v>121</v>
      </c>
      <c r="B50" s="42">
        <f t="shared" ref="B50:AG50" si="217">B33/B5</f>
        <v>7.784870048559997E-2</v>
      </c>
      <c r="C50" s="18">
        <f t="shared" si="217"/>
        <v>0.13251926423067362</v>
      </c>
      <c r="D50" s="18">
        <f t="shared" si="217"/>
        <v>0.11681997734869203</v>
      </c>
      <c r="E50" s="18">
        <f t="shared" si="217"/>
        <v>-4.9195904696296651E-2</v>
      </c>
      <c r="F50" s="67">
        <f t="shared" si="217"/>
        <v>6.2642695060219938E-2</v>
      </c>
      <c r="G50" s="42">
        <f t="shared" si="217"/>
        <v>0.15838382870691925</v>
      </c>
      <c r="H50" s="18">
        <f t="shared" si="217"/>
        <v>0.14534037131416092</v>
      </c>
      <c r="I50" s="18">
        <f t="shared" si="217"/>
        <v>0.17862436071391297</v>
      </c>
      <c r="J50" s="18">
        <f t="shared" si="217"/>
        <v>0.15139738863566202</v>
      </c>
      <c r="K50" s="67">
        <f t="shared" si="217"/>
        <v>0.15844538550008744</v>
      </c>
      <c r="L50" s="42">
        <f t="shared" si="217"/>
        <v>0.1541152885997428</v>
      </c>
      <c r="M50" s="18">
        <f t="shared" si="217"/>
        <v>0.15273064971246919</v>
      </c>
      <c r="N50" s="18">
        <f t="shared" si="217"/>
        <v>0.17565954976456169</v>
      </c>
      <c r="O50" s="18">
        <f t="shared" si="217"/>
        <v>0.15568615321167131</v>
      </c>
      <c r="P50" s="67">
        <f t="shared" si="217"/>
        <v>0.1600080322687667</v>
      </c>
      <c r="Q50" s="42">
        <f t="shared" si="217"/>
        <v>2.7990662438336856E-2</v>
      </c>
      <c r="R50" s="18">
        <f t="shared" si="217"/>
        <v>-3.0432091122941686E-2</v>
      </c>
      <c r="S50" s="18">
        <f t="shared" si="217"/>
        <v>4.9227209221096753E-2</v>
      </c>
      <c r="T50" s="18">
        <f t="shared" si="217"/>
        <v>5.7502808833551286E-2</v>
      </c>
      <c r="U50" s="67">
        <f t="shared" si="217"/>
        <v>2.9151021549915543E-2</v>
      </c>
      <c r="V50" s="42">
        <f t="shared" si="217"/>
        <v>6.6342473244277791E-2</v>
      </c>
      <c r="W50" s="18">
        <f t="shared" si="217"/>
        <v>0.1532308424276666</v>
      </c>
      <c r="X50" s="18">
        <f t="shared" si="217"/>
        <v>0.16572065807114486</v>
      </c>
      <c r="Y50" s="18">
        <f t="shared" si="217"/>
        <v>0.26798039312769223</v>
      </c>
      <c r="Z50" s="67">
        <f t="shared" si="217"/>
        <v>0.18041743523939369</v>
      </c>
      <c r="AA50" s="42">
        <f t="shared" si="217"/>
        <v>0.23077692630904981</v>
      </c>
      <c r="AB50" s="18">
        <f t="shared" si="217"/>
        <v>0.25206665791890825</v>
      </c>
      <c r="AC50" s="18">
        <f t="shared" si="217"/>
        <v>0.25467210066323687</v>
      </c>
      <c r="AD50" s="18">
        <f t="shared" si="217"/>
        <v>0.25165959651565689</v>
      </c>
      <c r="AE50" s="67">
        <f t="shared" si="217"/>
        <v>0.24818433575983914</v>
      </c>
      <c r="AF50" s="42">
        <f t="shared" si="217"/>
        <v>0.24283232677446587</v>
      </c>
      <c r="AG50" s="18">
        <f t="shared" si="217"/>
        <v>0.27363750389698899</v>
      </c>
      <c r="AH50" s="18">
        <f t="shared" ref="AH50:BM50" si="218">AH33/AH5</f>
        <v>0.27135996521272038</v>
      </c>
      <c r="AI50" s="18">
        <f t="shared" si="218"/>
        <v>0.24072260911535545</v>
      </c>
      <c r="AJ50" s="67">
        <f t="shared" si="218"/>
        <v>0.25777205756868993</v>
      </c>
      <c r="AK50" s="42">
        <f t="shared" si="218"/>
        <v>0.24763133406649185</v>
      </c>
      <c r="AL50" s="18">
        <f t="shared" si="218"/>
        <v>0.24808082249614974</v>
      </c>
      <c r="AM50" s="18">
        <f t="shared" si="218"/>
        <v>0.24593382592127888</v>
      </c>
      <c r="AN50" s="18">
        <f t="shared" si="218"/>
        <v>0.22063921764872574</v>
      </c>
      <c r="AO50" s="67">
        <f t="shared" si="218"/>
        <v>0.24038862158466995</v>
      </c>
      <c r="AP50" s="42">
        <f t="shared" si="218"/>
        <v>0.23761395280668327</v>
      </c>
      <c r="AQ50" s="18">
        <f t="shared" si="218"/>
        <v>0.25120705084181388</v>
      </c>
      <c r="AR50" s="18">
        <f t="shared" si="218"/>
        <v>0.27648246189600856</v>
      </c>
      <c r="AS50" s="18">
        <f t="shared" si="218"/>
        <v>0.27208512936230123</v>
      </c>
      <c r="AT50" s="67">
        <f t="shared" si="218"/>
        <v>0.26037499090710703</v>
      </c>
      <c r="AU50" s="42">
        <f t="shared" si="218"/>
        <v>0.28829412947326094</v>
      </c>
      <c r="AV50" s="18">
        <f t="shared" si="218"/>
        <v>0.26069372028340804</v>
      </c>
      <c r="AW50" s="18">
        <f t="shared" si="218"/>
        <v>0.25782517112108433</v>
      </c>
      <c r="AX50" s="18">
        <f t="shared" si="218"/>
        <v>0.2714532299464284</v>
      </c>
      <c r="AY50" s="67">
        <f t="shared" si="218"/>
        <v>0.2686812424758534</v>
      </c>
      <c r="AZ50" s="42">
        <f t="shared" si="218"/>
        <v>0.23800470933374507</v>
      </c>
      <c r="BA50" s="18">
        <f t="shared" si="218"/>
        <v>0.26527867334949978</v>
      </c>
      <c r="BB50" s="18">
        <f t="shared" si="218"/>
        <v>0.26026532138923453</v>
      </c>
      <c r="BC50" s="18">
        <f t="shared" si="218"/>
        <v>0.26821623512696297</v>
      </c>
      <c r="BD50" s="67">
        <f t="shared" si="218"/>
        <v>0.25915324700623055</v>
      </c>
      <c r="BE50" s="42">
        <f t="shared" si="218"/>
        <v>0.26218663196266523</v>
      </c>
      <c r="BF50" s="42">
        <f t="shared" si="218"/>
        <v>0.28187225379223713</v>
      </c>
      <c r="BG50" s="42">
        <f t="shared" si="218"/>
        <v>0.29442838404034488</v>
      </c>
      <c r="BH50" s="18">
        <f t="shared" si="218"/>
        <v>0.14667017490410048</v>
      </c>
      <c r="BI50" s="67">
        <f t="shared" si="218"/>
        <v>0.24672916035258988</v>
      </c>
      <c r="BJ50" s="42">
        <f t="shared" si="218"/>
        <v>0.29548384945423828</v>
      </c>
      <c r="BK50" s="42">
        <f t="shared" si="218"/>
        <v>0.29403572905106951</v>
      </c>
      <c r="BL50" s="42">
        <f t="shared" si="218"/>
        <v>0.28207697013576694</v>
      </c>
      <c r="BM50" s="18">
        <f t="shared" si="218"/>
        <v>0.22893128637695387</v>
      </c>
      <c r="BN50" s="67">
        <f t="shared" ref="BN50:CI50" si="219">BN33/BN5</f>
        <v>0.27675470622807175</v>
      </c>
      <c r="BO50" s="42">
        <f t="shared" si="219"/>
        <v>0.17508181318977803</v>
      </c>
      <c r="BP50" s="42">
        <f t="shared" si="219"/>
        <v>0.19867553309930203</v>
      </c>
      <c r="BQ50" s="42">
        <f t="shared" si="219"/>
        <v>0.17394831347337592</v>
      </c>
      <c r="BR50" s="18">
        <f t="shared" si="219"/>
        <v>-1.4512746757461019E-2</v>
      </c>
      <c r="BS50" s="67">
        <f t="shared" si="219"/>
        <v>0.13710376157878443</v>
      </c>
      <c r="BT50" s="42">
        <f t="shared" si="219"/>
        <v>0.14605483826963353</v>
      </c>
      <c r="BU50" s="42">
        <f t="shared" si="219"/>
        <v>0.12896282526626879</v>
      </c>
      <c r="BV50" s="42">
        <f t="shared" si="219"/>
        <v>0.11180721075489651</v>
      </c>
      <c r="BW50" s="42">
        <f t="shared" si="219"/>
        <v>0.14656744793987464</v>
      </c>
      <c r="BX50" s="67">
        <f t="shared" si="219"/>
        <v>0.13289648578690857</v>
      </c>
      <c r="BY50" s="42">
        <f t="shared" si="219"/>
        <v>0.19713529233039628</v>
      </c>
      <c r="BZ50" s="42">
        <f t="shared" si="219"/>
        <v>0.18780706994064436</v>
      </c>
      <c r="CA50" s="42">
        <f t="shared" si="219"/>
        <v>0.19887115917183174</v>
      </c>
      <c r="CB50" s="42">
        <f t="shared" si="219"/>
        <v>0.17858132560698226</v>
      </c>
      <c r="CC50" s="67">
        <f t="shared" si="219"/>
        <v>0.19058362882137919</v>
      </c>
      <c r="CD50" s="42">
        <f t="shared" si="219"/>
        <v>0.18804310514921116</v>
      </c>
      <c r="CE50" s="42">
        <f t="shared" si="219"/>
        <v>0.15109953504162876</v>
      </c>
      <c r="CF50" s="42">
        <f t="shared" si="219"/>
        <v>0.2185177332194862</v>
      </c>
      <c r="CG50" s="42">
        <f t="shared" si="219"/>
        <v>-0.27851315738189536</v>
      </c>
      <c r="CH50" s="67">
        <f t="shared" si="219"/>
        <v>7.6883796055673581E-2</v>
      </c>
      <c r="CI50" s="42">
        <f t="shared" si="219"/>
        <v>0.17321285580141371</v>
      </c>
      <c r="CJ50" s="42">
        <f t="shared" ref="CJ50:CK50" si="220">CJ33/CJ5</f>
        <v>0.18331269431804478</v>
      </c>
      <c r="CK50" s="42">
        <f t="shared" si="220"/>
        <v>0.18246123934558944</v>
      </c>
      <c r="CL50" s="42">
        <f t="shared" ref="CL50" si="221">CL33/CL5</f>
        <v>0.13860478498994624</v>
      </c>
      <c r="CM50" s="67">
        <f t="shared" ref="CM50" si="222">CM33/CM5</f>
        <v>0.1700103849580446</v>
      </c>
      <c r="CN50" s="42">
        <f t="shared" ref="CN50:CO50" si="223">CN33/CN5</f>
        <v>9.5627537111769814E-2</v>
      </c>
      <c r="CO50" s="42">
        <f t="shared" si="223"/>
        <v>7.8223912748161234E-2</v>
      </c>
      <c r="CP50" s="42"/>
      <c r="CQ50" s="42"/>
      <c r="CR50" s="67">
        <f t="shared" ref="CR50" si="224">CR33/CR5</f>
        <v>8.6829496089503855E-2</v>
      </c>
    </row>
    <row r="51" spans="1:96" s="19" customFormat="1" ht="11.15" customHeight="1" x14ac:dyDescent="0.2">
      <c r="A51" s="17"/>
      <c r="B51" s="18"/>
      <c r="C51" s="18"/>
      <c r="D51" s="18"/>
      <c r="E51" s="18"/>
      <c r="F51" s="67"/>
      <c r="G51" s="18"/>
      <c r="H51" s="18"/>
      <c r="I51" s="18"/>
      <c r="J51" s="18"/>
      <c r="K51" s="67"/>
      <c r="L51" s="18"/>
      <c r="M51" s="18"/>
      <c r="N51" s="18"/>
      <c r="O51" s="18"/>
      <c r="P51" s="67"/>
      <c r="Q51" s="18"/>
      <c r="R51" s="18"/>
      <c r="S51" s="18"/>
      <c r="T51" s="18"/>
      <c r="U51" s="67"/>
      <c r="V51" s="18"/>
      <c r="W51" s="18"/>
      <c r="X51" s="18"/>
      <c r="Y51" s="18"/>
      <c r="Z51" s="67"/>
      <c r="AA51" s="18"/>
      <c r="AB51" s="18"/>
      <c r="AC51" s="18"/>
      <c r="AD51" s="18"/>
      <c r="AE51" s="67"/>
      <c r="AF51" s="18"/>
      <c r="AG51" s="18"/>
      <c r="AH51" s="18"/>
      <c r="AI51" s="18"/>
      <c r="AJ51" s="67"/>
      <c r="AK51" s="18"/>
      <c r="AL51" s="18"/>
      <c r="AM51" s="18"/>
      <c r="AN51" s="18"/>
      <c r="AO51" s="67"/>
      <c r="AP51" s="18"/>
      <c r="AQ51" s="18"/>
      <c r="AR51" s="18"/>
      <c r="AS51" s="18"/>
      <c r="AT51" s="67"/>
      <c r="AU51" s="18"/>
      <c r="AV51" s="18"/>
      <c r="AW51" s="18"/>
      <c r="AX51" s="18"/>
      <c r="AY51" s="67"/>
      <c r="AZ51" s="18"/>
      <c r="BA51" s="18"/>
      <c r="BB51" s="18"/>
      <c r="BC51" s="18"/>
      <c r="BD51" s="67"/>
      <c r="BE51" s="18"/>
      <c r="BF51" s="18"/>
      <c r="BG51" s="18"/>
      <c r="BH51" s="18"/>
      <c r="BI51" s="67"/>
      <c r="BJ51" s="18"/>
      <c r="BK51" s="18"/>
      <c r="BL51" s="18"/>
      <c r="BM51" s="18"/>
      <c r="BN51" s="67"/>
      <c r="BO51" s="18"/>
      <c r="BP51" s="18"/>
      <c r="BQ51" s="18"/>
      <c r="BR51" s="18"/>
      <c r="BS51" s="67"/>
      <c r="BT51" s="18"/>
      <c r="BU51" s="18"/>
      <c r="BV51" s="18"/>
      <c r="BW51" s="18"/>
      <c r="BX51" s="67"/>
      <c r="BY51" s="18"/>
      <c r="BZ51" s="18"/>
      <c r="CA51" s="18"/>
      <c r="CB51" s="18"/>
      <c r="CC51" s="67"/>
      <c r="CD51" s="18"/>
      <c r="CE51" s="18"/>
      <c r="CF51" s="18"/>
      <c r="CG51" s="18"/>
      <c r="CH51" s="67"/>
      <c r="CI51" s="18"/>
      <c r="CJ51" s="18"/>
      <c r="CK51" s="18"/>
      <c r="CL51" s="18"/>
      <c r="CM51" s="67"/>
      <c r="CN51" s="18"/>
      <c r="CO51" s="18"/>
      <c r="CP51" s="18"/>
      <c r="CQ51" s="18"/>
      <c r="CR51" s="67"/>
    </row>
    <row r="52" spans="1:96" s="19" customFormat="1" ht="11.15" customHeight="1" x14ac:dyDescent="0.2">
      <c r="A52" s="17" t="s">
        <v>93</v>
      </c>
      <c r="B52" s="18"/>
      <c r="C52" s="18"/>
      <c r="D52" s="18"/>
      <c r="E52" s="18"/>
      <c r="F52" s="67"/>
      <c r="G52" s="18"/>
      <c r="H52" s="18"/>
      <c r="I52" s="18"/>
      <c r="J52" s="18"/>
      <c r="K52" s="67"/>
      <c r="L52" s="18"/>
      <c r="M52" s="18"/>
      <c r="N52" s="18"/>
      <c r="O52" s="18"/>
      <c r="P52" s="67"/>
      <c r="Q52" s="18"/>
      <c r="R52" s="18"/>
      <c r="S52" s="18"/>
      <c r="T52" s="18"/>
      <c r="U52" s="67"/>
      <c r="V52" s="18"/>
      <c r="W52" s="18"/>
      <c r="X52" s="18"/>
      <c r="Y52" s="18"/>
      <c r="Z52" s="67"/>
      <c r="AA52" s="18"/>
      <c r="AB52" s="18"/>
      <c r="AC52" s="18"/>
      <c r="AD52" s="18"/>
      <c r="AE52" s="67"/>
      <c r="AF52" s="18"/>
      <c r="AG52" s="18"/>
      <c r="AH52" s="18"/>
      <c r="AI52" s="18"/>
      <c r="AJ52" s="67"/>
      <c r="AK52" s="18"/>
      <c r="AL52" s="18"/>
      <c r="AM52" s="18"/>
      <c r="AN52" s="18"/>
      <c r="AO52" s="67"/>
      <c r="AP52" s="18"/>
      <c r="AQ52" s="18"/>
      <c r="AR52" s="18"/>
      <c r="AS52" s="18"/>
      <c r="AT52" s="67"/>
      <c r="AU52" s="18"/>
      <c r="AV52" s="18"/>
      <c r="AW52" s="18"/>
      <c r="AX52" s="18"/>
      <c r="AY52" s="67"/>
      <c r="AZ52" s="18"/>
      <c r="BA52" s="18"/>
      <c r="BB52" s="18"/>
      <c r="BC52" s="18"/>
      <c r="BD52" s="67"/>
      <c r="BE52" s="18"/>
      <c r="BF52" s="18"/>
      <c r="BG52" s="18"/>
      <c r="BH52" s="18"/>
      <c r="BI52" s="67"/>
      <c r="BJ52" s="18"/>
      <c r="BK52" s="18"/>
      <c r="BL52" s="18"/>
      <c r="BM52" s="18"/>
      <c r="BN52" s="67"/>
      <c r="BO52" s="18"/>
      <c r="BP52" s="18"/>
      <c r="BQ52" s="18"/>
      <c r="BR52" s="18"/>
      <c r="BS52" s="67"/>
      <c r="BT52" s="18"/>
      <c r="BU52" s="18"/>
      <c r="BV52" s="18"/>
      <c r="BW52" s="18"/>
      <c r="BX52" s="67"/>
      <c r="BY52" s="18"/>
      <c r="BZ52" s="18"/>
      <c r="CA52" s="18"/>
      <c r="CB52" s="18"/>
      <c r="CC52" s="67"/>
      <c r="CD52" s="18"/>
      <c r="CE52" s="18"/>
      <c r="CF52" s="18"/>
      <c r="CG52" s="18"/>
      <c r="CH52" s="67"/>
      <c r="CI52" s="18"/>
      <c r="CJ52" s="18"/>
      <c r="CK52" s="18"/>
      <c r="CL52" s="18"/>
      <c r="CM52" s="67"/>
      <c r="CN52" s="18"/>
      <c r="CO52" s="18"/>
      <c r="CP52" s="18"/>
      <c r="CQ52" s="18"/>
      <c r="CR52" s="67"/>
    </row>
    <row r="53" spans="1:96" s="19" customFormat="1" ht="11.15" customHeight="1" x14ac:dyDescent="0.2">
      <c r="A53" s="20" t="s">
        <v>64</v>
      </c>
      <c r="B53" s="11"/>
      <c r="C53" s="11"/>
      <c r="D53" s="11"/>
      <c r="E53" s="11"/>
      <c r="F53" s="61"/>
      <c r="G53" s="11">
        <f>G20+G17</f>
        <v>11052</v>
      </c>
      <c r="H53" s="11">
        <f>H20+H17</f>
        <v>10106</v>
      </c>
      <c r="I53" s="11">
        <f>I20+I17</f>
        <v>12814</v>
      </c>
      <c r="J53" s="11">
        <f>J20+J17</f>
        <v>12352</v>
      </c>
      <c r="K53" s="61">
        <f>SUM(G53:J53)</f>
        <v>46324</v>
      </c>
      <c r="L53" s="11">
        <f>L20+L17</f>
        <v>11967</v>
      </c>
      <c r="M53" s="11">
        <f>M20+M17</f>
        <v>13032</v>
      </c>
      <c r="N53" s="11">
        <f>N20+N17</f>
        <v>15495</v>
      </c>
      <c r="O53" s="11">
        <f>O20+O17</f>
        <v>13904</v>
      </c>
      <c r="P53" s="61">
        <f>SUM(L53:O53)</f>
        <v>54398</v>
      </c>
      <c r="Q53" s="11">
        <f>Q20+Q17</f>
        <v>3540</v>
      </c>
      <c r="R53" s="11">
        <f>R20+R17</f>
        <v>-1786</v>
      </c>
      <c r="S53" s="11">
        <f>S20+S17</f>
        <v>3608</v>
      </c>
      <c r="T53" s="11">
        <f>T20+T17</f>
        <v>4717</v>
      </c>
      <c r="U53" s="61">
        <f>SUM(Q53:T53)</f>
        <v>10079</v>
      </c>
      <c r="V53" s="11">
        <f>V20+V17</f>
        <v>5223</v>
      </c>
      <c r="W53" s="11">
        <f>W20+W17</f>
        <v>13416</v>
      </c>
      <c r="X53" s="11">
        <f>X20+X17</f>
        <v>22623</v>
      </c>
      <c r="Y53" s="11">
        <f>Y20+Y17</f>
        <v>38291</v>
      </c>
      <c r="Z53" s="61">
        <f>SUM(V53:Y53)</f>
        <v>79553</v>
      </c>
      <c r="AA53" s="11">
        <f>AA20+AA17</f>
        <v>34818</v>
      </c>
      <c r="AB53" s="11">
        <f>AB20+AB17</f>
        <v>45916</v>
      </c>
      <c r="AC53" s="11">
        <f>AC20+AC17</f>
        <v>47305</v>
      </c>
      <c r="AD53" s="11">
        <f>AD20+AD17</f>
        <v>44621</v>
      </c>
      <c r="AE53" s="61">
        <f>SUM(AA53:AD53)</f>
        <v>172660</v>
      </c>
      <c r="AF53" s="11">
        <f>AF20+AF17</f>
        <v>46463</v>
      </c>
      <c r="AG53" s="11">
        <f>AG20+AG17</f>
        <v>53091</v>
      </c>
      <c r="AH53" s="11">
        <f>AH20+AH17</f>
        <v>61803</v>
      </c>
      <c r="AI53" s="11">
        <f>AI20+AI17</f>
        <v>48893</v>
      </c>
      <c r="AJ53" s="61">
        <f>SUM(AF53:AI53)</f>
        <v>210250</v>
      </c>
      <c r="AK53" s="11">
        <f>AK20+AK17</f>
        <v>49165</v>
      </c>
      <c r="AL53" s="11">
        <f>AL20+AL17</f>
        <v>59765</v>
      </c>
      <c r="AM53" s="11">
        <f>AM20+AM17</f>
        <v>61336</v>
      </c>
      <c r="AN53" s="11">
        <f>AN20+AN17</f>
        <v>50417</v>
      </c>
      <c r="AO53" s="61">
        <f>SUM(AK53:AN53)</f>
        <v>220683</v>
      </c>
      <c r="AP53" s="11">
        <f>AP20+AP17</f>
        <v>56419</v>
      </c>
      <c r="AQ53" s="11">
        <f>AQ20+AQ17</f>
        <v>69694</v>
      </c>
      <c r="AR53" s="11">
        <f>AR20+AR17</f>
        <v>73975</v>
      </c>
      <c r="AS53" s="11">
        <f>AS20+AS17</f>
        <v>77052</v>
      </c>
      <c r="AT53" s="61">
        <f>SUM(AP53:AS53)</f>
        <v>277140</v>
      </c>
      <c r="AU53" s="11">
        <f>AU20+AU17</f>
        <v>73270</v>
      </c>
      <c r="AV53" s="11">
        <f>AV20+AV17</f>
        <v>90610</v>
      </c>
      <c r="AW53" s="11">
        <f>AW20+AW17</f>
        <v>94687</v>
      </c>
      <c r="AX53" s="11">
        <f>AX20+AX17</f>
        <v>80916</v>
      </c>
      <c r="AY53" s="61">
        <f>SUM(AU53:AX53)</f>
        <v>339483</v>
      </c>
      <c r="AZ53" s="11">
        <f>AZ20+AZ17</f>
        <v>74986</v>
      </c>
      <c r="BA53" s="11">
        <f>BA20+BA17</f>
        <v>93452</v>
      </c>
      <c r="BB53" s="11">
        <f>BB20+BB17</f>
        <v>96991</v>
      </c>
      <c r="BC53" s="11">
        <f>BC20+BC17</f>
        <v>103381</v>
      </c>
      <c r="BD53" s="61">
        <f>SUM(AZ53:BC53)</f>
        <v>368810</v>
      </c>
      <c r="BE53" s="11">
        <f>BE20+BE17</f>
        <v>105934</v>
      </c>
      <c r="BF53" s="11">
        <f>BF20+BF17</f>
        <v>148325</v>
      </c>
      <c r="BG53" s="11">
        <f>BG20+BG17</f>
        <v>164139</v>
      </c>
      <c r="BH53" s="11">
        <f>BH20+BH17</f>
        <v>147174</v>
      </c>
      <c r="BI53" s="61">
        <f>SUM(BE53:BH53)</f>
        <v>565572</v>
      </c>
      <c r="BJ53" s="11">
        <f>BJ20+BJ17</f>
        <v>135805</v>
      </c>
      <c r="BK53" s="11">
        <f>BK20+BK17</f>
        <v>164509</v>
      </c>
      <c r="BL53" s="11">
        <f>BL20+BL17</f>
        <v>125551</v>
      </c>
      <c r="BM53" s="11">
        <f>BM20+BM17</f>
        <v>91391</v>
      </c>
      <c r="BN53" s="61">
        <f>SUM(BJ53:BM53)</f>
        <v>517256</v>
      </c>
      <c r="BO53" s="11">
        <f>BO20+BO17</f>
        <v>69928</v>
      </c>
      <c r="BP53" s="11">
        <f>BP20+BP17</f>
        <v>96164</v>
      </c>
      <c r="BQ53" s="11">
        <f>BQ20+BQ17</f>
        <v>74953</v>
      </c>
      <c r="BR53" s="11">
        <f>BR20+BR17</f>
        <v>5575</v>
      </c>
      <c r="BS53" s="61">
        <f>SUM(BO53:BR53)</f>
        <v>246620</v>
      </c>
      <c r="BT53" s="11">
        <f>BT20+BT17</f>
        <v>25231</v>
      </c>
      <c r="BU53" s="11">
        <f>BU20+BU17</f>
        <v>59975</v>
      </c>
      <c r="BV53" s="11">
        <f>BV20+BV17</f>
        <v>30111</v>
      </c>
      <c r="BW53" s="11">
        <f>BW20+BW17</f>
        <v>70427</v>
      </c>
      <c r="BX53" s="61">
        <f>SUM(BT53:BW53)</f>
        <v>185744</v>
      </c>
      <c r="BY53" s="11">
        <f>BY20+BY17</f>
        <v>81677</v>
      </c>
      <c r="BZ53" s="11">
        <f>BZ20+BZ17</f>
        <v>95078</v>
      </c>
      <c r="CA53" s="11">
        <f>CA20+CA17</f>
        <v>98352</v>
      </c>
      <c r="CB53" s="11">
        <f>CB20+CB17</f>
        <v>77656</v>
      </c>
      <c r="CC53" s="61">
        <f>SUM(BY53:CB53)</f>
        <v>352763</v>
      </c>
      <c r="CD53" s="11">
        <f>CD20+CD17</f>
        <v>87333</v>
      </c>
      <c r="CE53" s="11">
        <f>CE20+CE17</f>
        <v>89315</v>
      </c>
      <c r="CF53" s="11">
        <f>CF20+CF17+CF14+CF15</f>
        <v>71792</v>
      </c>
      <c r="CG53" s="11">
        <f>CG20+CG17+CG16+CG15+CG14+Reconciliation!CG27</f>
        <v>57018.226956688464</v>
      </c>
      <c r="CH53" s="61">
        <f>SUM(CD53:CG53)</f>
        <v>305458.22695668845</v>
      </c>
      <c r="CI53" s="11">
        <f>CI20+CI17+CI16+CI15+CI14</f>
        <v>72952</v>
      </c>
      <c r="CJ53" s="11">
        <f>CJ20+CJ17+CJ16+CJ15+CJ14</f>
        <v>74332</v>
      </c>
      <c r="CK53" s="11">
        <f>CK20+CK17+CK16+CK15+CK14</f>
        <v>54993</v>
      </c>
      <c r="CL53" s="11">
        <f>CL20+CL17+CL16+CL15+CL14</f>
        <v>29289</v>
      </c>
      <c r="CM53" s="61">
        <f>SUM(CI53:CL53)</f>
        <v>231566</v>
      </c>
      <c r="CN53" s="11">
        <f>CN20+CN17+CN16+CN15+CN14</f>
        <v>13999</v>
      </c>
      <c r="CO53" s="11">
        <f>CO20+CO17+CO16+CO15+CO14</f>
        <v>14610</v>
      </c>
      <c r="CP53" s="11"/>
      <c r="CQ53" s="11"/>
      <c r="CR53" s="61">
        <f>SUM(CN53:CQ53)</f>
        <v>28609</v>
      </c>
    </row>
    <row r="54" spans="1:96" s="19" customFormat="1" ht="11.15" customHeight="1" x14ac:dyDescent="0.2">
      <c r="A54" s="20" t="s">
        <v>78</v>
      </c>
      <c r="B54" s="11"/>
      <c r="C54" s="11"/>
      <c r="D54" s="11"/>
      <c r="E54" s="11"/>
      <c r="F54" s="61"/>
      <c r="G54" s="11">
        <f>G53*G49</f>
        <v>4334.4382178907063</v>
      </c>
      <c r="H54" s="11">
        <f>H53*H49</f>
        <v>3572.4685266764559</v>
      </c>
      <c r="I54" s="11">
        <f>I53*I49</f>
        <v>3371.5989790556268</v>
      </c>
      <c r="J54" s="11">
        <f>J53*0.268</f>
        <v>3310.3360000000002</v>
      </c>
      <c r="K54" s="61">
        <f>SUM(G54:J54)</f>
        <v>14588.841723622791</v>
      </c>
      <c r="L54" s="11">
        <f>L53*L49</f>
        <v>3829.0184918347741</v>
      </c>
      <c r="M54" s="11">
        <f>M53*M49</f>
        <v>4043.4173866503556</v>
      </c>
      <c r="N54" s="11">
        <f>N53*N49</f>
        <v>4899.8600524059075</v>
      </c>
      <c r="O54" s="11">
        <f>O53*0.268</f>
        <v>3726.2720000000004</v>
      </c>
      <c r="P54" s="61">
        <f>SUM(L54:O54)</f>
        <v>16498.567930891037</v>
      </c>
      <c r="Q54" s="11">
        <f>Q53*Q49</f>
        <v>1097.4714189643578</v>
      </c>
      <c r="R54" s="11">
        <f>R53*R49</f>
        <v>-554.09354647720545</v>
      </c>
      <c r="S54" s="11">
        <f>S53*S49</f>
        <v>1135.7508315693981</v>
      </c>
      <c r="T54" s="11">
        <f>T53*0.268</f>
        <v>1264.1560000000002</v>
      </c>
      <c r="U54" s="61">
        <f>SUM(Q54:T54)</f>
        <v>2943.2847040565503</v>
      </c>
      <c r="V54" s="11">
        <f>V53*V49</f>
        <v>1686.6045086019381</v>
      </c>
      <c r="W54" s="11">
        <f>W53*W49</f>
        <v>4458.4344907706209</v>
      </c>
      <c r="X54" s="11">
        <f>X53*X49</f>
        <v>7465.4875459165696</v>
      </c>
      <c r="Y54" s="11">
        <f>Y53*0.268</f>
        <v>10261.988000000001</v>
      </c>
      <c r="Z54" s="61">
        <f>SUM(V54:Y54)</f>
        <v>23872.51454528913</v>
      </c>
      <c r="AA54" s="11">
        <f>AA53*AA49</f>
        <v>10806.932035398229</v>
      </c>
      <c r="AB54" s="11">
        <f>AB53*AB49</f>
        <v>14004.511668946045</v>
      </c>
      <c r="AC54" s="11">
        <f>AC53*AC49</f>
        <v>14334.46947201432</v>
      </c>
      <c r="AD54" s="11">
        <f>AD53*0.268</f>
        <v>11958.428</v>
      </c>
      <c r="AE54" s="61">
        <f>SUM(AA54:AD54)</f>
        <v>51104.34117635859</v>
      </c>
      <c r="AF54" s="11">
        <f>AF53*AF49</f>
        <v>14171.24671247213</v>
      </c>
      <c r="AG54" s="11">
        <f>AG53*AG49</f>
        <v>15953.953605532932</v>
      </c>
      <c r="AH54" s="11">
        <f>AH53*AH49</f>
        <v>18286.476778336404</v>
      </c>
      <c r="AI54" s="11">
        <f>AI53*0.268</f>
        <v>13103.324000000001</v>
      </c>
      <c r="AJ54" s="61">
        <f>SUM(AF54:AI54)</f>
        <v>61515.001096341461</v>
      </c>
      <c r="AK54" s="11">
        <f>AK53*AK49</f>
        <v>14390.239010933694</v>
      </c>
      <c r="AL54" s="11">
        <f>AL53*AL49</f>
        <v>17930.201926142181</v>
      </c>
      <c r="AM54" s="11">
        <f>AM53*AM49</f>
        <v>18094.191494321778</v>
      </c>
      <c r="AN54" s="11">
        <f>AN53*0.268</f>
        <v>13511.756000000001</v>
      </c>
      <c r="AO54" s="61">
        <f>SUM(AK54:AN54)</f>
        <v>63926.388431397652</v>
      </c>
      <c r="AP54" s="11">
        <f>AP53*AP49</f>
        <v>16981.939966197573</v>
      </c>
      <c r="AQ54" s="11">
        <f>AQ53*AQ49</f>
        <v>20916.888009508901</v>
      </c>
      <c r="AR54" s="11">
        <f>AR53*AR49</f>
        <v>21453.102048953657</v>
      </c>
      <c r="AS54" s="11">
        <f>AS53*0.268</f>
        <v>20649.936000000002</v>
      </c>
      <c r="AT54" s="61">
        <f>SUM(AP54:AS54)</f>
        <v>80001.866024660136</v>
      </c>
      <c r="AU54" s="11">
        <f>AU53*AU49</f>
        <v>21981.089437642666</v>
      </c>
      <c r="AV54" s="11">
        <f>AV53*AV49</f>
        <v>27183.4142550176</v>
      </c>
      <c r="AW54" s="11">
        <f>AW53*AW49</f>
        <v>28406.944910433445</v>
      </c>
      <c r="AX54" s="11">
        <f>AX53*0.268</f>
        <v>21685.488000000001</v>
      </c>
      <c r="AY54" s="61">
        <f>SUM(AU54:AX54)</f>
        <v>99256.936603093709</v>
      </c>
      <c r="AZ54" s="11">
        <f>AZ53*AZ49</f>
        <v>22308.489845908458</v>
      </c>
      <c r="BA54" s="11">
        <f>BA53*BA49</f>
        <v>27801.820643687315</v>
      </c>
      <c r="BB54" s="11">
        <f>BB53*BB49</f>
        <v>26054.041245391058</v>
      </c>
      <c r="BC54" s="11">
        <f>BC53*0.268</f>
        <v>27706.108</v>
      </c>
      <c r="BD54" s="61">
        <f>SUM(AZ54:BC54)</f>
        <v>103870.45973498683</v>
      </c>
      <c r="BE54" s="11">
        <f>BE53*BE49</f>
        <v>27543.258463361642</v>
      </c>
      <c r="BF54" s="11">
        <f>BF53*BF49</f>
        <v>39303.250301836437</v>
      </c>
      <c r="BG54" s="11">
        <f>BG53*BG49</f>
        <v>45962.314089787986</v>
      </c>
      <c r="BH54" s="11">
        <f>BH53*0.268</f>
        <v>39442.632000000005</v>
      </c>
      <c r="BI54" s="61">
        <f>SUM(BE54:BH54)</f>
        <v>152251.45485498608</v>
      </c>
      <c r="BJ54" s="11">
        <f>BJ53*BJ49</f>
        <v>34005.340702412337</v>
      </c>
      <c r="BK54" s="11">
        <f>BK53*BK49</f>
        <v>42145.961010605119</v>
      </c>
      <c r="BL54" s="11">
        <f>BL53*BL49</f>
        <v>26857.746102832174</v>
      </c>
      <c r="BM54" s="11">
        <f>BM53*0.268</f>
        <v>24492.788</v>
      </c>
      <c r="BN54" s="61">
        <f>SUM(BJ54:BM54)</f>
        <v>127501.83581584963</v>
      </c>
      <c r="BO54" s="11">
        <f>BO53*BO49</f>
        <v>16782.79742035484</v>
      </c>
      <c r="BP54" s="11">
        <f>BP53*BP49</f>
        <v>23366.690591759831</v>
      </c>
      <c r="BQ54" s="11">
        <f>BQ53*BQ49</f>
        <v>19602.749466771806</v>
      </c>
      <c r="BR54" s="11">
        <f>BR53*0.268</f>
        <v>1494.1000000000001</v>
      </c>
      <c r="BS54" s="61">
        <f>SUM(BO54:BR54)</f>
        <v>61246.337478886475</v>
      </c>
      <c r="BT54" s="11">
        <f>BT53*BT49</f>
        <v>5929.2325010403656</v>
      </c>
      <c r="BU54" s="11">
        <f>BU53*BU49</f>
        <v>13503.277860807044</v>
      </c>
      <c r="BV54" s="11">
        <f>BV53*BV49</f>
        <v>4951.2278820375341</v>
      </c>
      <c r="BW54" s="11">
        <f>BW53*BW49</f>
        <v>17092.472711750717</v>
      </c>
      <c r="BX54" s="61">
        <f>SUM(BT54:BW54)</f>
        <v>41476.210955635659</v>
      </c>
      <c r="BY54" s="11">
        <f>BY53*BY49</f>
        <v>18785.71</v>
      </c>
      <c r="BZ54" s="11">
        <f>BZ53*BZ49</f>
        <v>22970.309971373528</v>
      </c>
      <c r="CA54" s="11">
        <f>CA53*CA49</f>
        <v>25960.501108516364</v>
      </c>
      <c r="CB54" s="11">
        <f>CB53*CB49</f>
        <v>17689.224784373117</v>
      </c>
      <c r="CC54" s="61">
        <f>SUM(BY54:CB54)</f>
        <v>85405.745864263008</v>
      </c>
      <c r="CD54" s="11">
        <f>CD53*CD49</f>
        <v>21833.014821676705</v>
      </c>
      <c r="CE54" s="11">
        <f>CE53*CE49</f>
        <v>19619.637743296586</v>
      </c>
      <c r="CF54" s="11">
        <f>CF53*CF49</f>
        <v>15077.443968358602</v>
      </c>
      <c r="CG54" s="11">
        <f>CH54-SUM(CD54:CF54)</f>
        <v>12992.195922010396</v>
      </c>
      <c r="CH54" s="61">
        <f>-CH53*-22.76%</f>
        <v>69522.292455342293</v>
      </c>
      <c r="CI54" s="11">
        <f>CI53*CI49</f>
        <v>20280.98883419378</v>
      </c>
      <c r="CJ54" s="11">
        <f>CJ53*CJ49</f>
        <v>17570.193255893741</v>
      </c>
      <c r="CK54" s="11">
        <f>CK53*CK49</f>
        <v>10400.180153347095</v>
      </c>
      <c r="CL54" s="11">
        <f>CL53*CL49</f>
        <v>503.74884349868336</v>
      </c>
      <c r="CM54" s="61">
        <f>SUM(CI54:CL54)</f>
        <v>48755.111086933292</v>
      </c>
      <c r="CN54" s="11">
        <f>CN53*CN49</f>
        <v>3959.0648473305159</v>
      </c>
      <c r="CO54" s="11">
        <f>CO53*CO49</f>
        <v>2837.6531264992805</v>
      </c>
      <c r="CP54" s="11"/>
      <c r="CQ54" s="11"/>
      <c r="CR54" s="61">
        <f>SUM(CN54:CQ54)</f>
        <v>6796.7179738297964</v>
      </c>
    </row>
    <row r="55" spans="1:96" s="19" customFormat="1" ht="11.15" customHeight="1" x14ac:dyDescent="0.2">
      <c r="A55" s="6" t="s">
        <v>63</v>
      </c>
      <c r="B55" s="11"/>
      <c r="C55" s="11"/>
      <c r="D55" s="11"/>
      <c r="E55" s="11"/>
      <c r="F55" s="61"/>
      <c r="G55" s="11">
        <f>G53-G54</f>
        <v>6717.5617821092937</v>
      </c>
      <c r="H55" s="11">
        <f>H53-H54</f>
        <v>6533.5314733235446</v>
      </c>
      <c r="I55" s="11">
        <f>I53-I54</f>
        <v>9442.4010209443732</v>
      </c>
      <c r="J55" s="11">
        <f t="shared" ref="J55" si="225">J53-J54</f>
        <v>9041.6640000000007</v>
      </c>
      <c r="K55" s="61">
        <f>SUM(G55:J55)</f>
        <v>31735.158276377213</v>
      </c>
      <c r="L55" s="11">
        <f>L53-L54</f>
        <v>8137.9815081652259</v>
      </c>
      <c r="M55" s="11">
        <f>M53-M54</f>
        <v>8988.5826133496448</v>
      </c>
      <c r="N55" s="11">
        <f>N53-N54</f>
        <v>10595.139947594093</v>
      </c>
      <c r="O55" s="11">
        <f t="shared" ref="O55" si="226">O53-O54</f>
        <v>10177.727999999999</v>
      </c>
      <c r="P55" s="61">
        <f>SUM(L55:O55)</f>
        <v>37899.432069108967</v>
      </c>
      <c r="Q55" s="11">
        <f>Q53-Q54</f>
        <v>2442.5285810356422</v>
      </c>
      <c r="R55" s="11">
        <f>R53-R54</f>
        <v>-1231.9064535227944</v>
      </c>
      <c r="S55" s="11">
        <f>S53-S54</f>
        <v>2472.2491684306019</v>
      </c>
      <c r="T55" s="11">
        <f t="shared" ref="T55" si="227">T53-T54</f>
        <v>3452.8440000000001</v>
      </c>
      <c r="U55" s="61">
        <f>SUM(Q55:T55)</f>
        <v>7135.7152959434497</v>
      </c>
      <c r="V55" s="11">
        <f>V53-V54</f>
        <v>3536.3954913980619</v>
      </c>
      <c r="W55" s="11">
        <f>W53-W54</f>
        <v>8957.5655092293782</v>
      </c>
      <c r="X55" s="11">
        <f>X53-X54</f>
        <v>15157.512454083429</v>
      </c>
      <c r="Y55" s="11">
        <f t="shared" ref="Y55" si="228">Y53-Y54</f>
        <v>28029.011999999999</v>
      </c>
      <c r="Z55" s="61">
        <f>SUM(V55:Y55)</f>
        <v>55680.48545471087</v>
      </c>
      <c r="AA55" s="11">
        <f>AA53-AA54</f>
        <v>24011.067964601771</v>
      </c>
      <c r="AB55" s="11">
        <f>AB53-AB54</f>
        <v>31911.488331053955</v>
      </c>
      <c r="AC55" s="11">
        <f>AC53-AC54</f>
        <v>32970.530527985684</v>
      </c>
      <c r="AD55" s="11">
        <f t="shared" ref="AD55" si="229">AD53-AD54</f>
        <v>32662.572</v>
      </c>
      <c r="AE55" s="61">
        <f>SUM(AA55:AD55)</f>
        <v>121555.65882364141</v>
      </c>
      <c r="AF55" s="11">
        <f>AF53-AF54</f>
        <v>32291.75328752787</v>
      </c>
      <c r="AG55" s="11">
        <f>AG53-AG54</f>
        <v>37137.04639446707</v>
      </c>
      <c r="AH55" s="11">
        <f>AH53-AH54</f>
        <v>43516.523221663592</v>
      </c>
      <c r="AI55" s="11">
        <f t="shared" ref="AI55" si="230">AI53-AI54</f>
        <v>35789.675999999999</v>
      </c>
      <c r="AJ55" s="61">
        <f>SUM(AF55:AI55)</f>
        <v>148734.99890365853</v>
      </c>
      <c r="AK55" s="11">
        <f>AK53-AK54</f>
        <v>34774.760989066308</v>
      </c>
      <c r="AL55" s="11">
        <f>AL53-AL54</f>
        <v>41834.798073857819</v>
      </c>
      <c r="AM55" s="11">
        <f>AM53-AM54</f>
        <v>43241.808505678222</v>
      </c>
      <c r="AN55" s="11">
        <f t="shared" ref="AN55" si="231">AN53-AN54</f>
        <v>36905.243999999999</v>
      </c>
      <c r="AO55" s="61">
        <f>SUM(AK55:AN55)</f>
        <v>156756.61156860235</v>
      </c>
      <c r="AP55" s="11">
        <f>AP53-AP54</f>
        <v>39437.060033802423</v>
      </c>
      <c r="AQ55" s="11">
        <f>AQ53-AQ54</f>
        <v>48777.111990491103</v>
      </c>
      <c r="AR55" s="11">
        <f>AR53-AR54</f>
        <v>52521.89795104634</v>
      </c>
      <c r="AS55" s="11">
        <f t="shared" ref="AS55" si="232">AS53-AS54</f>
        <v>56402.063999999998</v>
      </c>
      <c r="AT55" s="61">
        <f>SUM(AP55:AS55)</f>
        <v>197138.13397533988</v>
      </c>
      <c r="AU55" s="11">
        <f>AU53-AU54</f>
        <v>51288.910562357334</v>
      </c>
      <c r="AV55" s="11">
        <f>AV53-AV54</f>
        <v>63426.585744982396</v>
      </c>
      <c r="AW55" s="11">
        <f>AW53-AW54</f>
        <v>66280.055089566551</v>
      </c>
      <c r="AX55" s="11">
        <f t="shared" ref="AX55" si="233">AX53-AX54</f>
        <v>59230.512000000002</v>
      </c>
      <c r="AY55" s="61">
        <f>SUM(AU55:AX55)</f>
        <v>240226.06339690625</v>
      </c>
      <c r="AZ55" s="11">
        <f>AZ53-AZ54</f>
        <v>52677.510154091542</v>
      </c>
      <c r="BA55" s="11">
        <f>BA53-BA54</f>
        <v>65650.179356312685</v>
      </c>
      <c r="BB55" s="11">
        <f>BB53-BB54</f>
        <v>70936.958754608946</v>
      </c>
      <c r="BC55" s="11">
        <f t="shared" ref="BC55" si="234">BC53-BC54</f>
        <v>75674.891999999993</v>
      </c>
      <c r="BD55" s="61">
        <f>SUM(AZ55:BC55)</f>
        <v>264939.54026501317</v>
      </c>
      <c r="BE55" s="11">
        <f>BE53-BE54</f>
        <v>78390.74153663835</v>
      </c>
      <c r="BF55" s="11">
        <f>BF53-BF54</f>
        <v>109021.74969816356</v>
      </c>
      <c r="BG55" s="11">
        <f>BG53-BG54</f>
        <v>118176.68591021202</v>
      </c>
      <c r="BH55" s="11">
        <f t="shared" ref="BH55" si="235">BH53-BH54</f>
        <v>107731.36799999999</v>
      </c>
      <c r="BI55" s="61">
        <f>SUM(BE55:BH55)</f>
        <v>413320.54514501395</v>
      </c>
      <c r="BJ55" s="11">
        <f>BJ53-BJ54</f>
        <v>101799.65929758767</v>
      </c>
      <c r="BK55" s="11">
        <f>BK53-BK54</f>
        <v>122363.03898939487</v>
      </c>
      <c r="BL55" s="11">
        <f>BL53-BL54</f>
        <v>98693.25389716783</v>
      </c>
      <c r="BM55" s="11">
        <f t="shared" ref="BM55" si="236">BM53-BM54</f>
        <v>66898.212</v>
      </c>
      <c r="BN55" s="61">
        <f>SUM(BJ55:BM55)</f>
        <v>389754.16418415034</v>
      </c>
      <c r="BO55" s="11">
        <f>BO53-BO54</f>
        <v>53145.202579645163</v>
      </c>
      <c r="BP55" s="11">
        <f>BP53-BP54</f>
        <v>72797.309408240166</v>
      </c>
      <c r="BQ55" s="11">
        <f>BQ53-BQ54</f>
        <v>55350.250533228194</v>
      </c>
      <c r="BR55" s="11">
        <f t="shared" ref="BR55" si="237">BR53-BR54</f>
        <v>4080.8999999999996</v>
      </c>
      <c r="BS55" s="61">
        <f>SUM(BO55:BR55)</f>
        <v>185373.66252111353</v>
      </c>
      <c r="BT55" s="11">
        <f>BT53-BT54</f>
        <v>19301.767498959634</v>
      </c>
      <c r="BU55" s="11">
        <f>BU53-BU54</f>
        <v>46471.722139192956</v>
      </c>
      <c r="BV55" s="11">
        <f>BV53-BV54</f>
        <v>25159.772117962464</v>
      </c>
      <c r="BW55" s="11">
        <f>BW53-BW54</f>
        <v>53334.527288249286</v>
      </c>
      <c r="BX55" s="61">
        <f>SUM(BT55:BW55)</f>
        <v>144267.78904436436</v>
      </c>
      <c r="BY55" s="11">
        <f>BY53-BY54</f>
        <v>62891.29</v>
      </c>
      <c r="BZ55" s="11">
        <f>BZ53-BZ54</f>
        <v>72107.690028626472</v>
      </c>
      <c r="CA55" s="11">
        <f>CA53-CA54</f>
        <v>72391.498891483643</v>
      </c>
      <c r="CB55" s="11">
        <f>CB53-CB54</f>
        <v>59966.775215626883</v>
      </c>
      <c r="CC55" s="61">
        <f>SUM(BY55:CB55)</f>
        <v>267357.25413573702</v>
      </c>
      <c r="CD55" s="11">
        <f>CD53-CD54</f>
        <v>65499.985178323295</v>
      </c>
      <c r="CE55" s="11">
        <f>CE53-CE54</f>
        <v>69695.362256703418</v>
      </c>
      <c r="CF55" s="11">
        <f>CF53-CF54</f>
        <v>56714.556031641398</v>
      </c>
      <c r="CG55" s="11">
        <f>CG53-CG54</f>
        <v>44026.031034678068</v>
      </c>
      <c r="CH55" s="61">
        <f>SUM(CD55:CG55)</f>
        <v>235935.9345013462</v>
      </c>
      <c r="CI55" s="11">
        <f>CI53-CI54</f>
        <v>52671.011165806223</v>
      </c>
      <c r="CJ55" s="11">
        <f>CJ53-CJ54</f>
        <v>56761.806744106259</v>
      </c>
      <c r="CK55" s="11">
        <f>CK53-CK54</f>
        <v>44592.819846652907</v>
      </c>
      <c r="CL55" s="11">
        <f>CL53-CL54</f>
        <v>28785.251156501316</v>
      </c>
      <c r="CM55" s="61">
        <f>SUM(CI55:CL55)</f>
        <v>182810.88891306671</v>
      </c>
      <c r="CN55" s="11">
        <f>CN53-CN54</f>
        <v>10039.935152669485</v>
      </c>
      <c r="CO55" s="11">
        <f>CO53-CO54</f>
        <v>11772.346873500719</v>
      </c>
      <c r="CP55" s="11"/>
      <c r="CQ55" s="11"/>
      <c r="CR55" s="61">
        <f>SUM(CN55:CQ55)</f>
        <v>21812.282026170204</v>
      </c>
    </row>
    <row r="56" spans="1:96" s="19" customFormat="1" ht="11.15" customHeight="1" x14ac:dyDescent="0.2">
      <c r="A56" s="6"/>
      <c r="B56" s="11"/>
      <c r="C56" s="11"/>
      <c r="D56" s="11"/>
      <c r="E56" s="11"/>
      <c r="F56" s="61"/>
      <c r="G56" s="11"/>
      <c r="H56" s="11"/>
      <c r="I56" s="11"/>
      <c r="J56" s="11"/>
      <c r="K56" s="61"/>
      <c r="L56" s="11"/>
      <c r="M56" s="11"/>
      <c r="N56" s="11"/>
      <c r="O56" s="11"/>
      <c r="P56" s="61"/>
      <c r="Q56" s="11"/>
      <c r="R56" s="11"/>
      <c r="S56" s="11"/>
      <c r="T56" s="11"/>
      <c r="U56" s="61"/>
      <c r="V56" s="11"/>
      <c r="W56" s="11"/>
      <c r="X56" s="11"/>
      <c r="Y56" s="11"/>
      <c r="Z56" s="61"/>
      <c r="AA56" s="11"/>
      <c r="AB56" s="11"/>
      <c r="AC56" s="11"/>
      <c r="AD56" s="11"/>
      <c r="AE56" s="61"/>
      <c r="AF56" s="11"/>
      <c r="AG56" s="11"/>
      <c r="AH56" s="11"/>
      <c r="AI56" s="11"/>
      <c r="AJ56" s="61"/>
      <c r="AK56" s="11"/>
      <c r="AL56" s="11"/>
      <c r="AM56" s="11"/>
      <c r="AN56" s="11"/>
      <c r="AO56" s="61"/>
      <c r="AP56" s="11"/>
      <c r="AQ56" s="11"/>
      <c r="AR56" s="11"/>
      <c r="AS56" s="11"/>
      <c r="AT56" s="61"/>
      <c r="AU56" s="11"/>
      <c r="AV56" s="11"/>
      <c r="AW56" s="11"/>
      <c r="AX56" s="11"/>
      <c r="AY56" s="61"/>
      <c r="AZ56" s="11"/>
      <c r="BA56" s="11"/>
      <c r="BB56" s="11"/>
      <c r="BC56" s="11"/>
      <c r="BD56" s="61"/>
      <c r="BE56" s="11"/>
      <c r="BF56" s="11"/>
      <c r="BG56" s="11"/>
      <c r="BH56" s="11"/>
      <c r="BI56" s="61"/>
      <c r="BJ56" s="11"/>
      <c r="BK56" s="11"/>
      <c r="BL56" s="11"/>
      <c r="BM56" s="11"/>
      <c r="BN56" s="61"/>
      <c r="BO56" s="11"/>
      <c r="BP56" s="11"/>
      <c r="BQ56" s="11"/>
      <c r="BR56" s="11"/>
      <c r="BS56" s="61"/>
      <c r="BT56" s="11"/>
      <c r="BU56" s="11"/>
      <c r="BV56" s="11"/>
      <c r="BW56" s="11"/>
      <c r="BX56" s="61"/>
      <c r="BY56" s="11"/>
      <c r="BZ56" s="11"/>
      <c r="CA56" s="11"/>
      <c r="CB56" s="11"/>
      <c r="CC56" s="61"/>
      <c r="CD56" s="11"/>
      <c r="CE56" s="11"/>
      <c r="CF56" s="11"/>
      <c r="CG56" s="11"/>
      <c r="CH56" s="61"/>
      <c r="CI56" s="11"/>
      <c r="CJ56" s="11"/>
      <c r="CK56" s="11"/>
      <c r="CL56" s="11"/>
      <c r="CM56" s="61"/>
      <c r="CN56" s="11"/>
      <c r="CO56" s="11"/>
      <c r="CP56" s="11"/>
      <c r="CQ56" s="11"/>
      <c r="CR56" s="61"/>
    </row>
    <row r="57" spans="1:96" s="19" customFormat="1" ht="11.15" customHeight="1" x14ac:dyDescent="0.2">
      <c r="A57" s="6" t="s">
        <v>247</v>
      </c>
      <c r="B57" s="11"/>
      <c r="C57" s="11"/>
      <c r="D57" s="11"/>
      <c r="E57" s="11"/>
      <c r="F57" s="61"/>
      <c r="G57" s="11">
        <f>(G20+G17+G25)*(1-G49)-G31</f>
        <v>6613</v>
      </c>
      <c r="H57" s="11">
        <f>(H20+H17+H25)*(1-H49)-H31</f>
        <v>6388.0000000000009</v>
      </c>
      <c r="I57" s="11">
        <f>(I20+I17+I25)*(1-I49)-I31</f>
        <v>8557</v>
      </c>
      <c r="J57" s="11">
        <f>(J20+J17+J25)*(1-0.268)-J31</f>
        <v>8864.0239999999994</v>
      </c>
      <c r="K57" s="61">
        <f>SUM(G57:J57)</f>
        <v>30422.023999999998</v>
      </c>
      <c r="L57" s="11">
        <f>(L20+L17+L25)*(1-L49)-L31</f>
        <v>7759.3398174831882</v>
      </c>
      <c r="M57" s="11">
        <f>(M20+M17+M25)*(1-M49)-M31</f>
        <v>8730.6404923923837</v>
      </c>
      <c r="N57" s="11">
        <f>(N20+N17+N25)*(1-N49)-N31</f>
        <v>9803.0578847070046</v>
      </c>
      <c r="O57" s="11">
        <f>(O20+O17+O25)*(1-0.268)-O31</f>
        <v>9348.652</v>
      </c>
      <c r="P57" s="61">
        <f>SUM(L57:O57)</f>
        <v>35641.690194582581</v>
      </c>
      <c r="Q57" s="11">
        <f>(Q20+Q17+Q25)*(1-Q49)-Q31</f>
        <v>2316.3194351042366</v>
      </c>
      <c r="R57" s="11">
        <f>(R20+R17+R25)*(1-R49)-R31</f>
        <v>-1573.8786264061575</v>
      </c>
      <c r="S57" s="11">
        <f>(S20+S17+S25)*(1-S49)-S31</f>
        <v>2227.5914726338074</v>
      </c>
      <c r="T57" s="11">
        <f>(T20+T17+T25)*(1-0.268)-T31</f>
        <v>3413.4519999999998</v>
      </c>
      <c r="U57" s="61">
        <f>SUM(Q57:T57)</f>
        <v>6383.4842813318865</v>
      </c>
      <c r="V57" s="11">
        <f>(V20+V17+V25)*(1-V49)-V31</f>
        <v>3323.8752224639111</v>
      </c>
      <c r="W57" s="11">
        <f>(W20+W17+W25)*(1-W49)-W31</f>
        <v>8773.6794242932738</v>
      </c>
      <c r="X57" s="11">
        <f>(X20+X17+X25)*(1-X49)-X31</f>
        <v>14618.269410758316</v>
      </c>
      <c r="Y57" s="11">
        <f>(Y20+Y17+Y25)*(1-0.268)-Y31</f>
        <v>27833.26</v>
      </c>
      <c r="Z57" s="61">
        <f>SUM(V57:Y57)</f>
        <v>54549.084057515502</v>
      </c>
      <c r="AA57" s="11">
        <f>(AA20+AA17+AA25)*(1-AA49)-AA31</f>
        <v>23564.523893805312</v>
      </c>
      <c r="AB57" s="11">
        <f>(AB20+AB17+AB25)*(1-AB49)-AB31</f>
        <v>30592.830590726608</v>
      </c>
      <c r="AC57" s="11">
        <f>(AC20+AC17+AC25)*(1-AC49)-AC31</f>
        <v>31525.923954604623</v>
      </c>
      <c r="AD57" s="11">
        <f>(AD20+AD17+AD25)*(1-0.268)-AD31</f>
        <v>31975.556</v>
      </c>
      <c r="AE57" s="61">
        <f>SUM(AA57:AD57)</f>
        <v>117658.83443913654</v>
      </c>
      <c r="AF57" s="11">
        <f>(AF20+AF17+AF25)*(1-AF49)-AF31</f>
        <v>30808.769122264184</v>
      </c>
      <c r="AG57" s="11">
        <f>(AG20+AG17+AG25)*(1-AG49)-AG31</f>
        <v>35395.883829518323</v>
      </c>
      <c r="AH57" s="11">
        <f>(AH20+AH17+AH25)*(1-AH49)-AH31</f>
        <v>43699.593558663946</v>
      </c>
      <c r="AI57" s="11">
        <f>(AI20+AI17+AI25)*(1-0.268)-AI31</f>
        <v>36351.120000000003</v>
      </c>
      <c r="AJ57" s="61">
        <f>SUM(AF57:AI57)</f>
        <v>146255.36651044645</v>
      </c>
      <c r="AK57" s="11">
        <f>(AK20+AK17+AK25)*(1-AK49)-AK31</f>
        <v>34786.78521233111</v>
      </c>
      <c r="AL57" s="11">
        <f>(AL20+AL17+AL25)*(1-AL49)-AL31</f>
        <v>41643.001291924629</v>
      </c>
      <c r="AM57" s="11">
        <f>(AM20+AM17+AM25)*(1-AM49)-AM31</f>
        <v>43439.913178139672</v>
      </c>
      <c r="AN57" s="11">
        <f>(AN20+AN17+AN25)*(1-0.268)-AN31</f>
        <v>37000.404000000002</v>
      </c>
      <c r="AO57" s="61">
        <f>SUM(AK57:AN57)</f>
        <v>156870.10368239542</v>
      </c>
      <c r="AP57" s="11">
        <f>(AP20+AP17+AP25)*(1-AP49)-AP31</f>
        <v>39573.36565259382</v>
      </c>
      <c r="AQ57" s="11">
        <f>(AQ20+AQ17+AQ25)*(1-AQ49)-AQ31</f>
        <v>48944.382196903811</v>
      </c>
      <c r="AR57" s="11">
        <f>(AR20+AR17+AR25)*(1-AR49)-AR31</f>
        <v>52634.077199120227</v>
      </c>
      <c r="AS57" s="11">
        <f>(AS20+AS17+AS25)*(1-0.268)-AS31</f>
        <v>56492.832000000002</v>
      </c>
      <c r="AT57" s="61">
        <f>SUM(AP57:AS57)</f>
        <v>197644.65704861784</v>
      </c>
      <c r="AU57" s="11">
        <f>(AU20+AU17+AU25)*(1-AU49)-AU31</f>
        <v>51232.610683202518</v>
      </c>
      <c r="AV57" s="11">
        <f>(AV20+AV17+AV25)*(1-AV49)-AV31</f>
        <v>63515.885520961921</v>
      </c>
      <c r="AW57" s="11">
        <f>(AW20+AW17+AW25)*(1-AW49)-AW31</f>
        <v>66378.454268632748</v>
      </c>
      <c r="AX57" s="11">
        <f>(AX20+AX17+AX25)*(1-0.268)-AX31</f>
        <v>58913.203999999998</v>
      </c>
      <c r="AY57" s="61">
        <f>SUM(AU57:AX57)</f>
        <v>240040.15447279718</v>
      </c>
      <c r="AZ57" s="11">
        <f>(AZ20+AZ17+AZ25)*(1-AZ49)-AZ31</f>
        <v>52815.307243157018</v>
      </c>
      <c r="BA57" s="11">
        <f>(BA20+BA17+BA25)*(1-BA49)-BA31</f>
        <v>65965.907513178725</v>
      </c>
      <c r="BB57" s="11">
        <f>(BB20+BB17+BB25)*(1-BB49)-BB31</f>
        <v>71359.649350786553</v>
      </c>
      <c r="BC57" s="11">
        <f>(BC20+BC17+BC25)*(1-0.268)-BC31</f>
        <v>76464.792000000001</v>
      </c>
      <c r="BD57" s="61">
        <f>SUM(AZ57:BC57)</f>
        <v>266605.65610712231</v>
      </c>
      <c r="BE57" s="11">
        <f>(BE20+BE17+BE25)*(1-BE49)-BE31</f>
        <v>78240.202409638558</v>
      </c>
      <c r="BF57" s="11">
        <f>(BF20+BF17+BF25)*(1-BF49)-BF31</f>
        <v>109395.64421427209</v>
      </c>
      <c r="BG57" s="11">
        <f>(BG20+BG17+BG25)*(1-BG49)-BG31</f>
        <v>118417.15900371209</v>
      </c>
      <c r="BH57" s="11">
        <f>(BH20+BH17+BH25)*(1-0.268)-BH31</f>
        <v>107844.82799999999</v>
      </c>
      <c r="BI57" s="61">
        <f>SUM(BE57:BH57)</f>
        <v>413897.83362762269</v>
      </c>
      <c r="BJ57" s="11">
        <f>(BJ20+BJ17+BJ25)*(1-BJ49)-BJ31</f>
        <v>102364.85898177</v>
      </c>
      <c r="BK57" s="11">
        <f>(BK20+BK17+BK25)*(1-BK49)-BK31</f>
        <v>123192.38442625958</v>
      </c>
      <c r="BL57" s="11">
        <f>(BL20+BL17+BL25)*(1-BL49)-BL31</f>
        <v>101843.90470468909</v>
      </c>
      <c r="BM57" s="11">
        <f>(BM20+BM17+BM25)*(1-0.268)-BM31</f>
        <v>70514.327999999994</v>
      </c>
      <c r="BN57" s="61">
        <f>SUM(BJ57:BM57)</f>
        <v>397915.47611271864</v>
      </c>
      <c r="BO57" s="11">
        <f>(BO20+BO17+BO25)*(1-BO49)-BO31</f>
        <v>56384.878214176977</v>
      </c>
      <c r="BP57" s="11">
        <f>(BP20+BP17+BP25)*(1-BP49)-BP31</f>
        <v>76113.079280577047</v>
      </c>
      <c r="BQ57" s="11">
        <f>(BQ20+BQ17+BQ25)*(1-BQ49)-BQ31</f>
        <v>57849.680618932514</v>
      </c>
      <c r="BR57" s="11">
        <f>(BR20+BR17+BR25)*(1-0.268)-BR31</f>
        <v>5922.7439999999997</v>
      </c>
      <c r="BS57" s="61">
        <f>SUM(BO57:BR57)</f>
        <v>196270.38211368653</v>
      </c>
      <c r="BT57" s="11">
        <f>(BT20+BT17+BT25)*(1-BT49)-BT31</f>
        <v>21435.734290470245</v>
      </c>
      <c r="BU57" s="11">
        <f>(BU20+BU17+BU25)*(1-BU49)-BU31</f>
        <v>48117.754978389952</v>
      </c>
      <c r="BV57" s="11">
        <f>(BV20+BV17+BV25)*(1-BV49)-BV31</f>
        <v>26160.416443252903</v>
      </c>
      <c r="BW57" s="11">
        <f>(BW20+BW17+BW25)*(1-BW49)-BW31</f>
        <v>53266.369595707059</v>
      </c>
      <c r="BX57" s="61">
        <f>SUM(BT57:BW57)</f>
        <v>148980.27530782018</v>
      </c>
      <c r="BY57" s="11">
        <f>(BY20+BY17+BY25)*(1-BY49)-BY31</f>
        <v>62609.950000000004</v>
      </c>
      <c r="BZ57" s="11">
        <f>(BZ20+BZ17+BZ25)*(1-BZ49)-BZ31</f>
        <v>71943.254296692161</v>
      </c>
      <c r="CA57" s="11">
        <f>(CA20+CA17+CA25)*(1-CA49)-CA31</f>
        <v>72727.212431148815</v>
      </c>
      <c r="CB57" s="11">
        <f>(CB20+CB17+CB25)*(1-CB49)-CB31</f>
        <v>59568.011866873319</v>
      </c>
      <c r="CC57" s="61">
        <f>SUM(BY57:CB57)</f>
        <v>266848.42859471426</v>
      </c>
      <c r="CD57" s="11">
        <f>(CD20+CD17+CD25)*(1-CD49)-CD31</f>
        <v>65214.484354298387</v>
      </c>
      <c r="CE57" s="11">
        <f>(CE20+CE17+CE25)*(1-CE49)-CE31</f>
        <v>70733.058391180079</v>
      </c>
      <c r="CF57" s="11">
        <f>(CF20+CF17+CF25+CF14+CF15)*(1-CF49)-CF31</f>
        <v>59382.034566578775</v>
      </c>
      <c r="CG57" s="11">
        <f>(CG20+CG17+CG25+CG14+CG15+CG16+Reconciliation!CG27)*(1-19.454%)-CG31</f>
        <v>52720.761644534286</v>
      </c>
      <c r="CH57" s="61">
        <f>SUM(CD57:CG57)</f>
        <v>248050.3389565915</v>
      </c>
      <c r="CI57" s="11">
        <f>(CI20+CI16+CI17+CI25)*(1-CI49)-CI31</f>
        <v>58348.783287309401</v>
      </c>
      <c r="CJ57" s="11">
        <f>(CJ20+CJ16+CJ17+CJ25)*(1-CJ49)-CJ31</f>
        <v>64053.666139783367</v>
      </c>
      <c r="CK57" s="11">
        <f>(CK20+CK16+CK17+CK25+CK15)*(1-CK49)-CK31</f>
        <v>54415.841315246238</v>
      </c>
      <c r="CL57" s="11">
        <f>(CL20+CL16+CL17+CL25+CL15)*(1-CL49)-CL31</f>
        <v>41930.211183071195</v>
      </c>
      <c r="CM57" s="61">
        <f>SUM(CI57:CL57)</f>
        <v>218748.50192541021</v>
      </c>
      <c r="CN57" s="11">
        <f>(CN20+CN16+CN17+CN25+CN15+CN14)*(1-CN49)-CN31</f>
        <v>20440.616600202367</v>
      </c>
      <c r="CO57" s="11">
        <f>(CO20+CO16+CO17+CO25+CO15+CO14)*(1-CO49)-CO31</f>
        <v>22224.837198144891</v>
      </c>
      <c r="CP57" s="11"/>
      <c r="CQ57" s="11"/>
      <c r="CR57" s="61">
        <f>SUM(CN57:CQ57)</f>
        <v>42665.453798347255</v>
      </c>
    </row>
    <row r="58" spans="1:96" s="19" customFormat="1" ht="11.15" customHeight="1" x14ac:dyDescent="0.2">
      <c r="A58" s="6"/>
      <c r="B58" s="11"/>
      <c r="C58" s="11"/>
      <c r="D58" s="11"/>
      <c r="E58" s="11"/>
      <c r="F58" s="61"/>
      <c r="G58" s="11"/>
      <c r="H58" s="11"/>
      <c r="I58" s="11"/>
      <c r="J58" s="11"/>
      <c r="K58" s="61"/>
      <c r="L58" s="11"/>
      <c r="M58" s="11"/>
      <c r="N58" s="11"/>
      <c r="O58" s="11"/>
      <c r="P58" s="61"/>
      <c r="Q58" s="11"/>
      <c r="R58" s="11"/>
      <c r="S58" s="11"/>
      <c r="T58" s="11"/>
      <c r="U58" s="61"/>
      <c r="V58" s="11"/>
      <c r="W58" s="11"/>
      <c r="X58" s="11"/>
      <c r="Y58" s="11"/>
      <c r="Z58" s="61"/>
      <c r="AA58" s="11"/>
      <c r="AB58" s="11"/>
      <c r="AC58" s="11"/>
      <c r="AD58" s="11"/>
      <c r="AE58" s="61"/>
      <c r="AF58" s="11"/>
      <c r="AG58" s="11"/>
      <c r="AH58" s="11"/>
      <c r="AI58" s="11"/>
      <c r="AJ58" s="61"/>
      <c r="AK58" s="11"/>
      <c r="AL58" s="11"/>
      <c r="AM58" s="11"/>
      <c r="AN58" s="11"/>
      <c r="AO58" s="61"/>
      <c r="AP58" s="11"/>
      <c r="AQ58" s="11"/>
      <c r="AR58" s="11"/>
      <c r="AS58" s="11"/>
      <c r="AT58" s="61"/>
      <c r="AU58" s="11"/>
      <c r="AV58" s="11"/>
      <c r="AW58" s="11"/>
      <c r="AX58" s="11"/>
      <c r="AY58" s="61"/>
      <c r="AZ58" s="11"/>
      <c r="BA58" s="11"/>
      <c r="BB58" s="11"/>
      <c r="BC58" s="11"/>
      <c r="BD58" s="61"/>
      <c r="BE58" s="11"/>
      <c r="BF58" s="11"/>
      <c r="BG58" s="11"/>
      <c r="BH58" s="11"/>
      <c r="BI58" s="61"/>
      <c r="BJ58" s="11"/>
      <c r="BK58" s="11"/>
      <c r="BL58" s="11"/>
      <c r="BM58" s="11"/>
      <c r="BN58" s="61"/>
      <c r="BO58" s="11"/>
      <c r="BP58" s="11"/>
      <c r="BQ58" s="11"/>
      <c r="BR58" s="11"/>
      <c r="BS58" s="61"/>
      <c r="BT58" s="11"/>
      <c r="BU58" s="11"/>
      <c r="BV58" s="11"/>
      <c r="BW58" s="11"/>
      <c r="BX58" s="61"/>
      <c r="BY58" s="11"/>
      <c r="BZ58" s="11"/>
      <c r="CA58" s="11"/>
      <c r="CB58" s="11"/>
      <c r="CC58" s="61"/>
      <c r="CD58" s="11"/>
      <c r="CE58" s="11"/>
      <c r="CF58" s="11"/>
      <c r="CG58" s="11"/>
      <c r="CH58" s="61"/>
      <c r="CI58" s="11"/>
      <c r="CJ58" s="11"/>
      <c r="CK58" s="11"/>
      <c r="CL58" s="11"/>
      <c r="CM58" s="61"/>
      <c r="CN58" s="11"/>
      <c r="CO58" s="11"/>
      <c r="CP58" s="11"/>
      <c r="CQ58" s="11"/>
      <c r="CR58" s="61"/>
    </row>
    <row r="59" spans="1:96" s="19" customFormat="1" ht="11.15" customHeight="1" x14ac:dyDescent="0.2">
      <c r="A59" s="6" t="s">
        <v>94</v>
      </c>
      <c r="B59" s="11"/>
      <c r="C59" s="11"/>
      <c r="D59" s="11"/>
      <c r="E59" s="11"/>
      <c r="F59" s="67"/>
      <c r="G59" s="11"/>
      <c r="H59" s="11"/>
      <c r="I59" s="11"/>
      <c r="J59" s="11"/>
      <c r="K59" s="67">
        <f>K57/('Balance Sheet'!K53/2+'Balance Sheet'!F53/2)</f>
        <v>0.16621513648184977</v>
      </c>
      <c r="L59" s="11"/>
      <c r="M59" s="11"/>
      <c r="N59" s="11"/>
      <c r="O59" s="11"/>
      <c r="P59" s="67">
        <f>P57/('Balance Sheet'!P53/2+'Balance Sheet'!K53/2)</f>
        <v>0.15913813282574032</v>
      </c>
      <c r="Q59" s="11"/>
      <c r="R59" s="11"/>
      <c r="S59" s="11"/>
      <c r="T59" s="11"/>
      <c r="U59" s="67">
        <f>U57/('Balance Sheet'!U53/2+'Balance Sheet'!P53/2)</f>
        <v>2.5540577675523181E-2</v>
      </c>
      <c r="V59" s="11"/>
      <c r="W59" s="11"/>
      <c r="X59" s="11"/>
      <c r="Y59" s="11"/>
      <c r="Z59" s="67">
        <f>Z57/('Balance Sheet'!Z53/2+'Balance Sheet'!U53/2)</f>
        <v>0.19027400634669692</v>
      </c>
      <c r="AA59" s="11"/>
      <c r="AB59" s="11"/>
      <c r="AC59" s="11"/>
      <c r="AD59" s="11"/>
      <c r="AE59" s="67">
        <f>AE57/('Balance Sheet'!AE53/2+'Balance Sheet'!Z53/2)</f>
        <v>0.30946034441582809</v>
      </c>
      <c r="AF59" s="11"/>
      <c r="AG59" s="11"/>
      <c r="AH59" s="11"/>
      <c r="AI59" s="11"/>
      <c r="AJ59" s="67">
        <f>AJ57/('Balance Sheet'!AJ53/2+'Balance Sheet'!AE53/2)</f>
        <v>0.24652474640141259</v>
      </c>
      <c r="AK59" s="11"/>
      <c r="AL59" s="11"/>
      <c r="AM59" s="11"/>
      <c r="AN59" s="11"/>
      <c r="AO59" s="67">
        <f>AO57/('Balance Sheet'!AO53/2+'Balance Sheet'!AJ53/2)</f>
        <v>0.18776764524230763</v>
      </c>
      <c r="AP59" s="11"/>
      <c r="AQ59" s="11"/>
      <c r="AR59" s="11"/>
      <c r="AS59" s="11"/>
      <c r="AT59" s="67">
        <f>AT57/('Balance Sheet'!AT53/2+'Balance Sheet'!AO53/2)</f>
        <v>0.20019412928506311</v>
      </c>
      <c r="AU59" s="11"/>
      <c r="AV59" s="11"/>
      <c r="AW59" s="11"/>
      <c r="AX59" s="11"/>
      <c r="AY59" s="67">
        <f>AY57/('Balance Sheet'!AY53/2+'Balance Sheet'!AT53/2)</f>
        <v>0.20807684593776005</v>
      </c>
      <c r="AZ59" s="11"/>
      <c r="BA59" s="11"/>
      <c r="BB59" s="11"/>
      <c r="BC59" s="11"/>
      <c r="BD59" s="67">
        <f>BD57/('Balance Sheet'!BD53/2+'Balance Sheet'!AY53/2)</f>
        <v>0.18919010548729953</v>
      </c>
      <c r="BE59" s="11"/>
      <c r="BF59" s="11"/>
      <c r="BG59" s="11"/>
      <c r="BH59" s="11"/>
      <c r="BI59" s="67">
        <f>BI57/('Balance Sheet'!BI53/2+'Balance Sheet'!BD53/2)</f>
        <v>0.23122486896962927</v>
      </c>
      <c r="BJ59" s="11"/>
      <c r="BK59" s="11"/>
      <c r="BL59" s="11"/>
      <c r="BM59" s="11"/>
      <c r="BN59" s="67">
        <f>BN57/('Balance Sheet'!BN53/2+'Balance Sheet'!BI53/2)</f>
        <v>0.18820395241908522</v>
      </c>
      <c r="BO59" s="11"/>
      <c r="BP59" s="11"/>
      <c r="BQ59" s="11"/>
      <c r="BR59" s="11"/>
      <c r="BS59" s="67">
        <f>BS57/('Balance Sheet'!BS53/2+'Balance Sheet'!BN53/2)</f>
        <v>8.5174284122617627E-2</v>
      </c>
      <c r="BT59" s="11"/>
      <c r="BU59" s="11"/>
      <c r="BV59" s="11"/>
      <c r="BW59" s="11"/>
      <c r="BX59" s="67">
        <f>BX57/('Balance Sheet'!BX53/2+'Balance Sheet'!BS53/2)</f>
        <v>5.9633209330998999E-2</v>
      </c>
      <c r="BY59" s="11"/>
      <c r="BZ59" s="11"/>
      <c r="CA59" s="11"/>
      <c r="CB59" s="11"/>
      <c r="CC59" s="67">
        <f>IF('Balance Sheet'!CC53=0,"",CC57/('Balance Sheet'!CC53/2+'Balance Sheet'!BX53/2))</f>
        <v>9.9918308240234552E-2</v>
      </c>
      <c r="CD59" s="11"/>
      <c r="CE59" s="11"/>
      <c r="CG59" s="11"/>
      <c r="CH59" s="67">
        <f>IF('Balance Sheet'!CH53=0,"",CH57/('Balance Sheet'!CH53/2+'Balance Sheet'!CC53/2))</f>
        <v>9.6657155125887545E-2</v>
      </c>
      <c r="CI59" s="11"/>
      <c r="CJ59" s="11"/>
      <c r="CL59" s="11"/>
      <c r="CM59" s="67">
        <f>IF('Balance Sheet'!CM53=0,"",CM57/('Balance Sheet'!CM53/2+'Balance Sheet'!CH53/2))</f>
        <v>9.1131064834899675E-2</v>
      </c>
      <c r="CN59" s="11"/>
      <c r="CO59" s="11"/>
      <c r="CQ59" s="11"/>
      <c r="CR59" s="61"/>
    </row>
    <row r="60" spans="1:96" s="19" customFormat="1" ht="11.15" customHeight="1" x14ac:dyDescent="0.2">
      <c r="A60" s="6" t="s">
        <v>95</v>
      </c>
      <c r="B60" s="11"/>
      <c r="C60" s="11"/>
      <c r="D60" s="11"/>
      <c r="E60" s="11"/>
      <c r="F60" s="67"/>
      <c r="G60" s="11"/>
      <c r="H60" s="11"/>
      <c r="I60" s="11"/>
      <c r="J60" s="11"/>
      <c r="K60" s="67">
        <f>K55/('Balance Sheet'!K64/2+'Balance Sheet'!F64/2)</f>
        <v>0.14482871768410846</v>
      </c>
      <c r="L60" s="11"/>
      <c r="M60" s="11"/>
      <c r="N60" s="11"/>
      <c r="O60" s="11"/>
      <c r="P60" s="67">
        <f>P55/('Balance Sheet'!P64/2+'Balance Sheet'!K64/2)</f>
        <v>0.14625898288323214</v>
      </c>
      <c r="Q60" s="11"/>
      <c r="R60" s="11"/>
      <c r="S60" s="11"/>
      <c r="T60" s="11"/>
      <c r="U60" s="67">
        <f>U55/('Balance Sheet'!U64/2+'Balance Sheet'!P64/2)</f>
        <v>2.5349980446567704E-2</v>
      </c>
      <c r="V60" s="11"/>
      <c r="W60" s="11"/>
      <c r="X60" s="11"/>
      <c r="Y60" s="11"/>
      <c r="Z60" s="67">
        <f>Z55/('Balance Sheet'!Z64/2+'Balance Sheet'!U64/2)</f>
        <v>0.17217564810273203</v>
      </c>
      <c r="AA60" s="11"/>
      <c r="AB60" s="11"/>
      <c r="AC60" s="11"/>
      <c r="AD60" s="11"/>
      <c r="AE60" s="67">
        <f>AE55/('Balance Sheet'!AE64/2+'Balance Sheet'!Z64/2)</f>
        <v>0.27584376651301695</v>
      </c>
      <c r="AF60" s="11"/>
      <c r="AG60" s="11"/>
      <c r="AH60" s="11"/>
      <c r="AI60" s="11"/>
      <c r="AJ60" s="67">
        <f>AJ55/('Balance Sheet'!AJ64/2+'Balance Sheet'!AE64/2)</f>
        <v>0.23257304727011222</v>
      </c>
      <c r="AK60" s="11"/>
      <c r="AL60" s="11"/>
      <c r="AM60" s="11"/>
      <c r="AN60" s="11"/>
      <c r="AO60" s="67">
        <f>AO55/('Balance Sheet'!AO64/2+'Balance Sheet'!AJ64/2)</f>
        <v>0.18353243360603758</v>
      </c>
      <c r="AP60" s="11"/>
      <c r="AQ60" s="11"/>
      <c r="AR60" s="11"/>
      <c r="AS60" s="11"/>
      <c r="AT60" s="67">
        <f>AT55/('Balance Sheet'!AT64/2+'Balance Sheet'!AO64/2)</f>
        <v>0.19455099484587937</v>
      </c>
      <c r="AU60" s="11"/>
      <c r="AV60" s="11"/>
      <c r="AW60" s="11"/>
      <c r="AX60" s="11"/>
      <c r="AY60" s="67">
        <f>AY55/('Balance Sheet'!AY64/2+'Balance Sheet'!AT64/2)</f>
        <v>0.20335375685093743</v>
      </c>
      <c r="AZ60" s="11"/>
      <c r="BA60" s="11"/>
      <c r="BB60" s="11"/>
      <c r="BC60" s="11"/>
      <c r="BD60" s="67">
        <f>BD55/('Balance Sheet'!BD64/2+'Balance Sheet'!AY64/2)</f>
        <v>0.18405615498495304</v>
      </c>
      <c r="BE60" s="11"/>
      <c r="BF60" s="11"/>
      <c r="BG60" s="11"/>
      <c r="BH60" s="11"/>
      <c r="BI60" s="67">
        <f>BI55/('Balance Sheet'!BI64/2+'Balance Sheet'!BD64/2)</f>
        <v>0.22525194900011689</v>
      </c>
      <c r="BJ60" s="11"/>
      <c r="BK60" s="11"/>
      <c r="BL60" s="11"/>
      <c r="BM60" s="11"/>
      <c r="BN60" s="67">
        <f>BN55/('Balance Sheet'!BN64/2+'Balance Sheet'!BI64/2)</f>
        <v>0.18032002665985197</v>
      </c>
      <c r="BO60" s="11"/>
      <c r="BP60" s="11"/>
      <c r="BQ60" s="11"/>
      <c r="BR60" s="11"/>
      <c r="BS60" s="67">
        <f>BS55/('Balance Sheet'!BS64/2+'Balance Sheet'!BN64/2)</f>
        <v>7.8953585400759585E-2</v>
      </c>
      <c r="BT60" s="11"/>
      <c r="BU60" s="11"/>
      <c r="BV60" s="11"/>
      <c r="BW60" s="11"/>
      <c r="BX60" s="67">
        <f>BX55/('Balance Sheet'!BX64/2+'Balance Sheet'!BS64/2)</f>
        <v>5.6818564183616672E-2</v>
      </c>
      <c r="BY60" s="11"/>
      <c r="BZ60" s="11"/>
      <c r="CA60" s="11"/>
      <c r="CB60" s="11"/>
      <c r="CC60" s="67">
        <f>IF('Balance Sheet'!CC64=0,"",CC55/('Balance Sheet'!CC64/2+'Balance Sheet'!BX64/2))</f>
        <v>9.8714276955812211E-2</v>
      </c>
      <c r="CD60" s="11"/>
      <c r="CE60" s="11"/>
      <c r="CF60" s="11"/>
      <c r="CG60" s="112"/>
      <c r="CH60" s="67">
        <f>IF('Balance Sheet'!CH64=0,"",CH55/('Balance Sheet'!CH64/2+'Balance Sheet'!CC64/2))</f>
        <v>9.1022207927002816E-2</v>
      </c>
      <c r="CI60" s="11"/>
      <c r="CJ60" s="11"/>
      <c r="CK60" s="11"/>
      <c r="CL60" s="112"/>
      <c r="CM60" s="67">
        <f>IF('Balance Sheet'!CM64=0,"",CM55/('Balance Sheet'!CM64/2+'Balance Sheet'!CH64/2))</f>
        <v>7.5905912549417587E-2</v>
      </c>
      <c r="CN60" s="11"/>
      <c r="CO60" s="11"/>
      <c r="CP60" s="11"/>
      <c r="CQ60" s="112"/>
      <c r="CR60" s="61"/>
    </row>
    <row r="61" spans="1:96" s="19" customFormat="1" ht="11.15" customHeight="1" x14ac:dyDescent="0.2">
      <c r="A61" s="6" t="s">
        <v>96</v>
      </c>
      <c r="B61" s="11"/>
      <c r="C61" s="11"/>
      <c r="D61" s="11"/>
      <c r="E61" s="11"/>
      <c r="F61" s="67"/>
      <c r="G61" s="11"/>
      <c r="H61" s="11"/>
      <c r="I61" s="11"/>
      <c r="J61" s="11"/>
      <c r="K61" s="67">
        <f>K55/('Balance Sheet'!K65/2+'Balance Sheet'!F65/2)</f>
        <v>0.19980896429382325</v>
      </c>
      <c r="L61" s="11"/>
      <c r="M61" s="11"/>
      <c r="N61" s="11"/>
      <c r="O61" s="11"/>
      <c r="P61" s="67">
        <f>P55/('Balance Sheet'!P65/2+'Balance Sheet'!K65/2)</f>
        <v>0.17959858436809717</v>
      </c>
      <c r="Q61" s="11"/>
      <c r="R61" s="11"/>
      <c r="S61" s="11"/>
      <c r="T61" s="11"/>
      <c r="U61" s="67">
        <f>U55/('Balance Sheet'!U65/2+'Balance Sheet'!P65/2)</f>
        <v>3.3284349975131126E-2</v>
      </c>
      <c r="V61" s="11"/>
      <c r="W61" s="11"/>
      <c r="X61" s="11"/>
      <c r="Y61" s="11"/>
      <c r="Z61" s="67">
        <f>Z55/('Balance Sheet'!Z65/2+'Balance Sheet'!U65/2)</f>
        <v>0.26769013720783963</v>
      </c>
      <c r="AA61" s="11"/>
      <c r="AB61" s="11"/>
      <c r="AC61" s="11"/>
      <c r="AD61" s="11"/>
      <c r="AE61" s="67">
        <f>AE55/('Balance Sheet'!AE65/2+'Balance Sheet'!Z65/2)</f>
        <v>0.46061955779413638</v>
      </c>
      <c r="AF61" s="11"/>
      <c r="AG61" s="11"/>
      <c r="AH61" s="11"/>
      <c r="AI61" s="11"/>
      <c r="AJ61" s="67">
        <f>AJ55/('Balance Sheet'!AJ65/2+'Balance Sheet'!AE65/2)</f>
        <v>0.43155312092586123</v>
      </c>
      <c r="AK61" s="11"/>
      <c r="AL61" s="11"/>
      <c r="AM61" s="11"/>
      <c r="AN61" s="11"/>
      <c r="AO61" s="67">
        <f>AO55/('Balance Sheet'!AO65/2+'Balance Sheet'!AJ65/2)</f>
        <v>0.35814201603997853</v>
      </c>
      <c r="AP61" s="11"/>
      <c r="AQ61" s="11"/>
      <c r="AR61" s="11"/>
      <c r="AS61" s="11"/>
      <c r="AT61" s="67">
        <f>AT55/('Balance Sheet'!AT65/2+'Balance Sheet'!AO65/2)</f>
        <v>0.37348439185605325</v>
      </c>
      <c r="AU61" s="11"/>
      <c r="AV61" s="11"/>
      <c r="AW61" s="11"/>
      <c r="AX61" s="11"/>
      <c r="AY61" s="67">
        <f>AY55/('Balance Sheet'!AY65/2+'Balance Sheet'!AT65/2)</f>
        <v>0.417285167307476</v>
      </c>
      <c r="AZ61" s="11"/>
      <c r="BA61" s="11"/>
      <c r="BB61" s="11"/>
      <c r="BC61" s="11"/>
      <c r="BD61" s="67">
        <f>BD55/('Balance Sheet'!BD65/2+'Balance Sheet'!AY65/2)</f>
        <v>0.38986092071584966</v>
      </c>
      <c r="BE61" s="11"/>
      <c r="BF61" s="11"/>
      <c r="BG61" s="11"/>
      <c r="BH61" s="11"/>
      <c r="BI61" s="67">
        <f>BI55/('Balance Sheet'!BI65/2+'Balance Sheet'!BD65/2)</f>
        <v>0.47975177317680634</v>
      </c>
      <c r="BJ61" s="11"/>
      <c r="BK61" s="11"/>
      <c r="BL61" s="11"/>
      <c r="BM61" s="11"/>
      <c r="BN61" s="67">
        <f>BN55/('Balance Sheet'!BN65/2+'Balance Sheet'!BI65/2)</f>
        <v>0.36055481293593972</v>
      </c>
      <c r="BO61" s="11"/>
      <c r="BP61" s="11"/>
      <c r="BQ61" s="11"/>
      <c r="BR61" s="11"/>
      <c r="BS61" s="67">
        <f>BS55/('Balance Sheet'!BS65/2+'Balance Sheet'!BN65/2)</f>
        <v>0.15020004198834572</v>
      </c>
      <c r="BT61" s="11"/>
      <c r="BU61" s="11"/>
      <c r="BV61" s="11"/>
      <c r="BW61" s="11"/>
      <c r="BX61" s="67">
        <f>BX55/('Balance Sheet'!BX65/2+'Balance Sheet'!BS65/2)</f>
        <v>0.11520639889189051</v>
      </c>
      <c r="BY61" s="11"/>
      <c r="BZ61" s="11"/>
      <c r="CA61" s="11"/>
      <c r="CB61" s="11"/>
      <c r="CC61" s="67">
        <f>IF('Balance Sheet'!CC65=0,"",CC55/('Balance Sheet'!CC65/2+'Balance Sheet'!BX65/2))</f>
        <v>0.21293025748509947</v>
      </c>
      <c r="CD61" s="11"/>
      <c r="CE61" s="11"/>
      <c r="CF61" s="11"/>
      <c r="CG61" s="11"/>
      <c r="CH61" s="67">
        <f>IF('Balance Sheet'!CH65=0,"",CH55/('Balance Sheet'!CH65/2+'Balance Sheet'!CC65/2))</f>
        <v>0.18935073144649164</v>
      </c>
      <c r="CI61" s="11"/>
      <c r="CJ61" s="11"/>
      <c r="CK61" s="11"/>
      <c r="CL61" s="11"/>
      <c r="CM61" s="67">
        <f>IF('Balance Sheet'!CM65=0,"",CM55/('Balance Sheet'!CM65/2+'Balance Sheet'!CH65/2))</f>
        <v>0.14852337634383447</v>
      </c>
      <c r="CN61" s="11"/>
      <c r="CO61" s="11"/>
      <c r="CP61" s="11"/>
      <c r="CQ61" s="11"/>
      <c r="CR61" s="61"/>
    </row>
    <row r="62" spans="1:96" ht="11.15" customHeight="1" thickBot="1" x14ac:dyDescent="0.25">
      <c r="A62" s="6"/>
      <c r="F62" s="68"/>
      <c r="K62" s="68"/>
      <c r="P62" s="68"/>
      <c r="U62" s="68"/>
      <c r="Z62" s="68"/>
      <c r="AE62" s="68"/>
      <c r="AJ62" s="68"/>
      <c r="AO62" s="68"/>
      <c r="AT62" s="68"/>
      <c r="AY62" s="68"/>
      <c r="BD62" s="68"/>
      <c r="BI62" s="68"/>
      <c r="BN62" s="68"/>
      <c r="BS62" s="68"/>
      <c r="BX62" s="68"/>
      <c r="CC62" s="68"/>
      <c r="CG62" s="53"/>
      <c r="CH62" s="68"/>
      <c r="CL62" s="53"/>
      <c r="CM62" s="68"/>
      <c r="CQ62" s="53"/>
      <c r="CR62" s="68"/>
    </row>
    <row r="63" spans="1:96" ht="11.15" customHeight="1" x14ac:dyDescent="0.2">
      <c r="A63" s="6" t="s">
        <v>248</v>
      </c>
      <c r="BC63" s="42"/>
      <c r="BH63" s="42"/>
      <c r="BM63" s="42"/>
      <c r="BR63" s="42"/>
      <c r="BW63" s="42"/>
      <c r="CB63" s="42"/>
      <c r="CG63" s="42"/>
    </row>
    <row r="64" spans="1:96" ht="11.15" customHeight="1" x14ac:dyDescent="0.2">
      <c r="A64" s="6"/>
    </row>
    <row r="65" spans="1:1" ht="11.15" customHeight="1" x14ac:dyDescent="0.2">
      <c r="A65" s="6"/>
    </row>
  </sheetData>
  <mergeCells count="38">
    <mergeCell ref="CN1:CR1"/>
    <mergeCell ref="CN3:CQ3"/>
    <mergeCell ref="V1:Z1"/>
    <mergeCell ref="V3:Y3"/>
    <mergeCell ref="AA3:AD3"/>
    <mergeCell ref="AA1:AE1"/>
    <mergeCell ref="AK1:AO1"/>
    <mergeCell ref="AK3:AN3"/>
    <mergeCell ref="BT1:BX1"/>
    <mergeCell ref="BT3:BW3"/>
    <mergeCell ref="BO1:BS1"/>
    <mergeCell ref="BO3:BR3"/>
    <mergeCell ref="AF1:AJ1"/>
    <mergeCell ref="AF3:AI3"/>
    <mergeCell ref="BJ1:BN1"/>
    <mergeCell ref="BJ3:BM3"/>
    <mergeCell ref="B1:F1"/>
    <mergeCell ref="B3:E3"/>
    <mergeCell ref="Q1:U1"/>
    <mergeCell ref="Q3:T3"/>
    <mergeCell ref="G1:K1"/>
    <mergeCell ref="L1:P1"/>
    <mergeCell ref="G3:J3"/>
    <mergeCell ref="L3:O3"/>
    <mergeCell ref="BE1:BI1"/>
    <mergeCell ref="BE3:BH3"/>
    <mergeCell ref="AZ1:BD1"/>
    <mergeCell ref="AZ3:BC3"/>
    <mergeCell ref="AP1:AT1"/>
    <mergeCell ref="AP3:AS3"/>
    <mergeCell ref="AU1:AY1"/>
    <mergeCell ref="AU3:AX3"/>
    <mergeCell ref="CI1:CM1"/>
    <mergeCell ref="CI3:CL3"/>
    <mergeCell ref="CD1:CH1"/>
    <mergeCell ref="CD3:CG3"/>
    <mergeCell ref="BY1:CC1"/>
    <mergeCell ref="BY3:CB3"/>
  </mergeCells>
  <phoneticPr fontId="5" type="noConversion"/>
  <printOptions horizontalCentered="1"/>
  <pageMargins left="0.25" right="0.25" top="0.75" bottom="0.75" header="0.3" footer="0.3"/>
  <pageSetup paperSize="5" scale="62" fitToHeight="0" orientation="landscape" r:id="rId1"/>
  <headerFooter alignWithMargins="0">
    <oddHeader>&amp;L&amp;G</oddHeader>
  </headerFooter>
  <ignoredErrors>
    <ignoredError sqref="F17:BD26 BI18:BI26 BN18:BN26 BN7:BN12 BI7:BI12 F7:BD7 F31:BD48 BI31:BI48 BN31:BN48 F30 F27:J27 AA27:AD27 AU27:AX27 AY27:BN30 AE27:AT30 K27:Z30 F50:BD52 BI58 BN58 F58:BD58 F9:BD12 F8:AI8 AK8:BD8 BS17:BS36 BS53:BS55 BD53:BD55 AY53:AY55 AT53:AT55 AO53:AO55 AJ53:AJ55 AE53:AE55 Z53:Z55 U53:U55 P53:P55 K53:K55 BN50:BN55 BI50:BI55 F62:BD62 F59:J59 L59:O59 F60:O61 Q59:T61 V59:Y61 AA59:AD61 AF59:AI61 AK59:AN61 AP59:AS61 AU59:AX61 AZ59:BC61 BI62 BN62 BX18:BX36 BX40:BX41 BX44 BX47:BX50 BX53:BX57 BX7 BS38 BS7:BS13 BS15" formula="1"/>
    <ignoredError sqref="BT36:BT39 BT42:BT50 BX58" evalError="1"/>
    <ignoredError sqref="BX45:BX46 BX51:BX52 BX42:BX43 BX38:BX39" evalError="1" 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A1:CR40"/>
  <sheetViews>
    <sheetView zoomScale="110" zoomScaleNormal="110" zoomScaleSheetLayoutView="110" workbookViewId="0">
      <pane xSplit="1" ySplit="4" topLeftCell="BD5" activePane="bottomRight" state="frozen"/>
      <selection activeCell="A54" sqref="A54"/>
      <selection pane="topRight" activeCell="A54" sqref="A54"/>
      <selection pane="bottomLeft" activeCell="A54" sqref="A54"/>
      <selection pane="bottomRight" activeCell="CP28" sqref="CP28"/>
    </sheetView>
  </sheetViews>
  <sheetFormatPr defaultColWidth="9.7265625" defaultRowHeight="11.15" customHeight="1" outlineLevelCol="1" x14ac:dyDescent="0.2"/>
  <cols>
    <col min="1" max="1" width="59.453125" style="1" customWidth="1"/>
    <col min="2" max="5" width="9.7265625" style="1" hidden="1" customWidth="1" outlineLevel="1"/>
    <col min="6" max="6" width="9.7265625" style="1" collapsed="1"/>
    <col min="7" max="10" width="9.7265625" style="1" hidden="1" customWidth="1" outlineLevel="1"/>
    <col min="11" max="11" width="9.7265625" style="1" collapsed="1"/>
    <col min="12" max="15" width="9.7265625" style="1" hidden="1" customWidth="1" outlineLevel="1"/>
    <col min="16" max="16" width="9.7265625" style="1" collapsed="1"/>
    <col min="17" max="20" width="9.7265625" style="1" hidden="1" customWidth="1" outlineLevel="1"/>
    <col min="21" max="21" width="9.7265625" style="1" collapsed="1"/>
    <col min="22" max="25" width="9.7265625" style="1" hidden="1" customWidth="1" outlineLevel="1"/>
    <col min="26" max="26" width="9.7265625" style="1" collapsed="1"/>
    <col min="27" max="30" width="9.7265625" style="1" hidden="1" customWidth="1" outlineLevel="1"/>
    <col min="31" max="31" width="9.7265625" style="1" collapsed="1"/>
    <col min="32" max="35" width="9.7265625" style="1" hidden="1" customWidth="1" outlineLevel="1"/>
    <col min="36" max="36" width="9.7265625" style="1" collapsed="1"/>
    <col min="37" max="40" width="9.7265625" style="1" hidden="1" customWidth="1" outlineLevel="1"/>
    <col min="41" max="41" width="9.7265625" style="1" collapsed="1"/>
    <col min="42" max="45" width="9.7265625" style="1" hidden="1" customWidth="1" outlineLevel="1"/>
    <col min="46" max="46" width="9.7265625" style="1" collapsed="1"/>
    <col min="47" max="50" width="9.7265625" style="1" hidden="1" customWidth="1" outlineLevel="1"/>
    <col min="51" max="51" width="9.7265625" style="1" collapsed="1"/>
    <col min="52" max="55" width="9.7265625" style="1" hidden="1" customWidth="1" outlineLevel="1"/>
    <col min="56" max="56" width="9.7265625" style="1" collapsed="1"/>
    <col min="57" max="60" width="9.7265625" style="1" hidden="1" customWidth="1" outlineLevel="1"/>
    <col min="61" max="61" width="9.7265625" style="1" collapsed="1"/>
    <col min="62" max="65" width="9.7265625" style="1" hidden="1" customWidth="1" outlineLevel="1"/>
    <col min="66" max="66" width="9.7265625" style="1" collapsed="1"/>
    <col min="67" max="70" width="9.7265625" style="1" hidden="1" customWidth="1" outlineLevel="1"/>
    <col min="71" max="71" width="9.7265625" style="1" collapsed="1"/>
    <col min="72" max="75" width="9.7265625" style="1" hidden="1" customWidth="1" outlineLevel="1"/>
    <col min="76" max="76" width="9.7265625" style="1" collapsed="1"/>
    <col min="77" max="80" width="9.7265625" style="1" hidden="1" customWidth="1" outlineLevel="1"/>
    <col min="81" max="81" width="9.7265625" style="1" collapsed="1"/>
    <col min="82" max="85" width="9.7265625" style="1" hidden="1" customWidth="1" outlineLevel="1"/>
    <col min="86" max="86" width="9.7265625" style="1" collapsed="1"/>
    <col min="87" max="90" width="9.7265625" style="1" hidden="1" customWidth="1" outlineLevel="1"/>
    <col min="91" max="91" width="9.7265625" style="1" collapsed="1"/>
    <col min="92" max="95" width="9.7265625" style="1" customWidth="1" outlineLevel="1"/>
    <col min="96" max="16384" width="9.7265625" style="1"/>
  </cols>
  <sheetData>
    <row r="1" spans="1:96" ht="11.15" customHeight="1" thickBot="1" x14ac:dyDescent="0.3">
      <c r="A1" s="22" t="s">
        <v>44</v>
      </c>
      <c r="B1" s="118" t="s">
        <v>40</v>
      </c>
      <c r="C1" s="119"/>
      <c r="D1" s="119"/>
      <c r="E1" s="119"/>
      <c r="F1" s="120"/>
      <c r="G1" s="118" t="s">
        <v>41</v>
      </c>
      <c r="H1" s="119"/>
      <c r="I1" s="119"/>
      <c r="J1" s="119"/>
      <c r="K1" s="120"/>
      <c r="L1" s="118" t="s">
        <v>42</v>
      </c>
      <c r="M1" s="119"/>
      <c r="N1" s="119"/>
      <c r="O1" s="119"/>
      <c r="P1" s="120"/>
      <c r="Q1" s="118" t="s">
        <v>43</v>
      </c>
      <c r="R1" s="119"/>
      <c r="S1" s="119"/>
      <c r="T1" s="119"/>
      <c r="U1" s="120"/>
      <c r="V1" s="118" t="s">
        <v>11</v>
      </c>
      <c r="W1" s="119"/>
      <c r="X1" s="119"/>
      <c r="Y1" s="119"/>
      <c r="Z1" s="120"/>
      <c r="AA1" s="118" t="s">
        <v>10</v>
      </c>
      <c r="AB1" s="119"/>
      <c r="AC1" s="119"/>
      <c r="AD1" s="119"/>
      <c r="AE1" s="120"/>
      <c r="AF1" s="118" t="s">
        <v>9</v>
      </c>
      <c r="AG1" s="119"/>
      <c r="AH1" s="119"/>
      <c r="AI1" s="119"/>
      <c r="AJ1" s="120"/>
      <c r="AK1" s="118" t="s">
        <v>8</v>
      </c>
      <c r="AL1" s="119"/>
      <c r="AM1" s="119"/>
      <c r="AN1" s="119"/>
      <c r="AO1" s="120"/>
      <c r="AP1" s="118" t="s">
        <v>7</v>
      </c>
      <c r="AQ1" s="119"/>
      <c r="AR1" s="119"/>
      <c r="AS1" s="119"/>
      <c r="AT1" s="120"/>
      <c r="AU1" s="118" t="s">
        <v>6</v>
      </c>
      <c r="AV1" s="119"/>
      <c r="AW1" s="119"/>
      <c r="AX1" s="119"/>
      <c r="AY1" s="120"/>
      <c r="AZ1" s="118" t="s">
        <v>22</v>
      </c>
      <c r="BA1" s="119"/>
      <c r="BB1" s="119"/>
      <c r="BC1" s="119"/>
      <c r="BD1" s="120"/>
      <c r="BE1" s="118" t="s">
        <v>122</v>
      </c>
      <c r="BF1" s="119"/>
      <c r="BG1" s="119"/>
      <c r="BH1" s="119"/>
      <c r="BI1" s="120"/>
      <c r="BJ1" s="118" t="s">
        <v>153</v>
      </c>
      <c r="BK1" s="119"/>
      <c r="BL1" s="119"/>
      <c r="BM1" s="119"/>
      <c r="BN1" s="120"/>
      <c r="BO1" s="118" t="s">
        <v>162</v>
      </c>
      <c r="BP1" s="119"/>
      <c r="BQ1" s="119"/>
      <c r="BR1" s="119"/>
      <c r="BS1" s="120"/>
      <c r="BT1" s="118" t="s">
        <v>215</v>
      </c>
      <c r="BU1" s="119"/>
      <c r="BV1" s="119"/>
      <c r="BW1" s="119"/>
      <c r="BX1" s="120"/>
      <c r="BY1" s="118" t="s">
        <v>221</v>
      </c>
      <c r="BZ1" s="119"/>
      <c r="CA1" s="119"/>
      <c r="CB1" s="119"/>
      <c r="CC1" s="120"/>
      <c r="CD1" s="118" t="s">
        <v>222</v>
      </c>
      <c r="CE1" s="119"/>
      <c r="CF1" s="119"/>
      <c r="CG1" s="119"/>
      <c r="CH1" s="120"/>
      <c r="CI1" s="118" t="s">
        <v>242</v>
      </c>
      <c r="CJ1" s="119"/>
      <c r="CK1" s="119"/>
      <c r="CL1" s="119"/>
      <c r="CM1" s="120"/>
      <c r="CN1" s="118" t="s">
        <v>254</v>
      </c>
      <c r="CO1" s="119"/>
      <c r="CP1" s="119"/>
      <c r="CQ1" s="119"/>
      <c r="CR1" s="120"/>
    </row>
    <row r="2" spans="1:96" ht="11.15" customHeight="1" thickBot="1" x14ac:dyDescent="0.3">
      <c r="A2" s="1" t="s">
        <v>120</v>
      </c>
      <c r="B2" s="2"/>
      <c r="G2" s="2"/>
      <c r="L2" s="2"/>
      <c r="Q2" s="2"/>
      <c r="V2" s="2"/>
      <c r="AB2" s="2"/>
      <c r="BK2" s="2"/>
      <c r="BP2" s="2"/>
      <c r="BU2" s="2"/>
      <c r="BZ2" s="2"/>
      <c r="CE2" s="2"/>
    </row>
    <row r="3" spans="1:96" ht="11.15" customHeight="1" x14ac:dyDescent="0.25">
      <c r="A3" s="1" t="s">
        <v>246</v>
      </c>
      <c r="B3" s="121" t="s">
        <v>0</v>
      </c>
      <c r="C3" s="121"/>
      <c r="D3" s="121"/>
      <c r="E3" s="121"/>
      <c r="F3" s="56" t="s">
        <v>5</v>
      </c>
      <c r="G3" s="121" t="s">
        <v>0</v>
      </c>
      <c r="H3" s="121"/>
      <c r="I3" s="121"/>
      <c r="J3" s="121"/>
      <c r="K3" s="56" t="s">
        <v>5</v>
      </c>
      <c r="L3" s="121" t="s">
        <v>0</v>
      </c>
      <c r="M3" s="121"/>
      <c r="N3" s="121"/>
      <c r="O3" s="121"/>
      <c r="P3" s="56" t="s">
        <v>5</v>
      </c>
      <c r="Q3" s="121" t="s">
        <v>0</v>
      </c>
      <c r="R3" s="121"/>
      <c r="S3" s="121"/>
      <c r="T3" s="121"/>
      <c r="U3" s="56" t="s">
        <v>5</v>
      </c>
      <c r="V3" s="121" t="s">
        <v>0</v>
      </c>
      <c r="W3" s="121"/>
      <c r="X3" s="121"/>
      <c r="Y3" s="121"/>
      <c r="Z3" s="56" t="s">
        <v>5</v>
      </c>
      <c r="AA3" s="121" t="s">
        <v>0</v>
      </c>
      <c r="AB3" s="121"/>
      <c r="AC3" s="121"/>
      <c r="AD3" s="121"/>
      <c r="AE3" s="56" t="s">
        <v>5</v>
      </c>
      <c r="AF3" s="121" t="s">
        <v>0</v>
      </c>
      <c r="AG3" s="121"/>
      <c r="AH3" s="121"/>
      <c r="AI3" s="121"/>
      <c r="AJ3" s="56" t="s">
        <v>5</v>
      </c>
      <c r="AK3" s="121" t="s">
        <v>0</v>
      </c>
      <c r="AL3" s="121"/>
      <c r="AM3" s="121"/>
      <c r="AN3" s="121"/>
      <c r="AO3" s="56" t="s">
        <v>5</v>
      </c>
      <c r="AP3" s="121" t="s">
        <v>0</v>
      </c>
      <c r="AQ3" s="121"/>
      <c r="AR3" s="121"/>
      <c r="AS3" s="121"/>
      <c r="AT3" s="56" t="s">
        <v>5</v>
      </c>
      <c r="AU3" s="121" t="s">
        <v>0</v>
      </c>
      <c r="AV3" s="121"/>
      <c r="AW3" s="121"/>
      <c r="AX3" s="121"/>
      <c r="AY3" s="56" t="s">
        <v>5</v>
      </c>
      <c r="AZ3" s="121" t="s">
        <v>0</v>
      </c>
      <c r="BA3" s="121"/>
      <c r="BB3" s="121"/>
      <c r="BC3" s="121"/>
      <c r="BD3" s="56" t="s">
        <v>5</v>
      </c>
      <c r="BE3" s="121" t="s">
        <v>0</v>
      </c>
      <c r="BF3" s="121"/>
      <c r="BG3" s="121"/>
      <c r="BH3" s="121"/>
      <c r="BI3" s="56" t="s">
        <v>5</v>
      </c>
      <c r="BJ3" s="121" t="s">
        <v>0</v>
      </c>
      <c r="BK3" s="121"/>
      <c r="BL3" s="121"/>
      <c r="BM3" s="121"/>
      <c r="BN3" s="56" t="s">
        <v>5</v>
      </c>
      <c r="BO3" s="121" t="s">
        <v>0</v>
      </c>
      <c r="BP3" s="121"/>
      <c r="BQ3" s="121"/>
      <c r="BR3" s="121"/>
      <c r="BS3" s="56" t="s">
        <v>5</v>
      </c>
      <c r="BT3" s="121" t="s">
        <v>0</v>
      </c>
      <c r="BU3" s="121"/>
      <c r="BV3" s="121"/>
      <c r="BW3" s="121"/>
      <c r="BX3" s="56" t="s">
        <v>5</v>
      </c>
      <c r="BY3" s="121" t="s">
        <v>0</v>
      </c>
      <c r="BZ3" s="121"/>
      <c r="CA3" s="121"/>
      <c r="CB3" s="121"/>
      <c r="CC3" s="56" t="s">
        <v>5</v>
      </c>
      <c r="CD3" s="121" t="s">
        <v>0</v>
      </c>
      <c r="CE3" s="121"/>
      <c r="CF3" s="121"/>
      <c r="CG3" s="121"/>
      <c r="CH3" s="56" t="s">
        <v>5</v>
      </c>
      <c r="CI3" s="121" t="s">
        <v>0</v>
      </c>
      <c r="CJ3" s="121"/>
      <c r="CK3" s="121"/>
      <c r="CL3" s="121"/>
      <c r="CM3" s="56" t="s">
        <v>5</v>
      </c>
      <c r="CN3" s="121" t="s">
        <v>0</v>
      </c>
      <c r="CO3" s="121"/>
      <c r="CP3" s="121"/>
      <c r="CQ3" s="121"/>
      <c r="CR3" s="56" t="s">
        <v>5</v>
      </c>
    </row>
    <row r="4" spans="1:96" s="2" customFormat="1" ht="11.15" customHeight="1" x14ac:dyDescent="0.25">
      <c r="A4" s="6"/>
      <c r="B4" s="3">
        <v>40268</v>
      </c>
      <c r="C4" s="3">
        <v>40359</v>
      </c>
      <c r="D4" s="3">
        <v>40451</v>
      </c>
      <c r="E4" s="3">
        <v>40543</v>
      </c>
      <c r="F4" s="57">
        <v>40543</v>
      </c>
      <c r="G4" s="3">
        <v>40268</v>
      </c>
      <c r="H4" s="3">
        <v>40359</v>
      </c>
      <c r="I4" s="3">
        <v>40451</v>
      </c>
      <c r="J4" s="3">
        <v>40543</v>
      </c>
      <c r="K4" s="57">
        <v>40543</v>
      </c>
      <c r="L4" s="3">
        <v>40268</v>
      </c>
      <c r="M4" s="3">
        <v>40359</v>
      </c>
      <c r="N4" s="3">
        <v>40451</v>
      </c>
      <c r="O4" s="3">
        <v>40543</v>
      </c>
      <c r="P4" s="57">
        <v>40543</v>
      </c>
      <c r="Q4" s="3">
        <v>40268</v>
      </c>
      <c r="R4" s="3">
        <v>40359</v>
      </c>
      <c r="S4" s="3">
        <v>40451</v>
      </c>
      <c r="T4" s="3">
        <v>40543</v>
      </c>
      <c r="U4" s="57">
        <v>40543</v>
      </c>
      <c r="V4" s="3">
        <v>40268</v>
      </c>
      <c r="W4" s="3">
        <v>40359</v>
      </c>
      <c r="X4" s="3">
        <v>40451</v>
      </c>
      <c r="Y4" s="3">
        <v>40543</v>
      </c>
      <c r="Z4" s="57">
        <v>40543</v>
      </c>
      <c r="AA4" s="3">
        <v>40633</v>
      </c>
      <c r="AB4" s="3">
        <v>40724</v>
      </c>
      <c r="AC4" s="3">
        <v>40816</v>
      </c>
      <c r="AD4" s="3">
        <v>40908</v>
      </c>
      <c r="AE4" s="57">
        <v>40908</v>
      </c>
      <c r="AF4" s="3">
        <v>40999</v>
      </c>
      <c r="AG4" s="3">
        <v>41090</v>
      </c>
      <c r="AH4" s="3">
        <v>41182</v>
      </c>
      <c r="AI4" s="3">
        <v>41274</v>
      </c>
      <c r="AJ4" s="57">
        <v>41274</v>
      </c>
      <c r="AK4" s="3">
        <v>41364</v>
      </c>
      <c r="AL4" s="3">
        <v>41455</v>
      </c>
      <c r="AM4" s="3">
        <v>41547</v>
      </c>
      <c r="AN4" s="3">
        <v>41639</v>
      </c>
      <c r="AO4" s="57">
        <v>41639</v>
      </c>
      <c r="AP4" s="3">
        <v>41729</v>
      </c>
      <c r="AQ4" s="3">
        <v>41820</v>
      </c>
      <c r="AR4" s="3">
        <v>41912</v>
      </c>
      <c r="AS4" s="3">
        <v>42004</v>
      </c>
      <c r="AT4" s="57">
        <v>42004</v>
      </c>
      <c r="AU4" s="3">
        <v>42094</v>
      </c>
      <c r="AV4" s="3">
        <v>42185</v>
      </c>
      <c r="AW4" s="3">
        <v>42277</v>
      </c>
      <c r="AX4" s="3">
        <v>42369</v>
      </c>
      <c r="AY4" s="57">
        <v>42369</v>
      </c>
      <c r="AZ4" s="3">
        <v>42460</v>
      </c>
      <c r="BA4" s="3">
        <v>42551</v>
      </c>
      <c r="BB4" s="3">
        <v>42643</v>
      </c>
      <c r="BC4" s="3">
        <v>42735</v>
      </c>
      <c r="BD4" s="57">
        <v>42735</v>
      </c>
      <c r="BE4" s="3">
        <v>42825</v>
      </c>
      <c r="BF4" s="3">
        <v>42916</v>
      </c>
      <c r="BG4" s="3">
        <v>43008</v>
      </c>
      <c r="BH4" s="3">
        <v>43100</v>
      </c>
      <c r="BI4" s="57">
        <v>42735</v>
      </c>
      <c r="BJ4" s="3">
        <v>43190</v>
      </c>
      <c r="BK4" s="3">
        <v>43281</v>
      </c>
      <c r="BL4" s="3">
        <v>43373</v>
      </c>
      <c r="BM4" s="3">
        <v>43465</v>
      </c>
      <c r="BN4" s="57">
        <v>43465</v>
      </c>
      <c r="BO4" s="3">
        <v>43555</v>
      </c>
      <c r="BP4" s="3">
        <v>43646</v>
      </c>
      <c r="BQ4" s="3">
        <v>43738</v>
      </c>
      <c r="BR4" s="3">
        <v>43830</v>
      </c>
      <c r="BS4" s="57">
        <v>43830</v>
      </c>
      <c r="BT4" s="3">
        <v>43921</v>
      </c>
      <c r="BU4" s="3">
        <v>44012</v>
      </c>
      <c r="BV4" s="3">
        <v>44104</v>
      </c>
      <c r="BW4" s="3">
        <v>44196</v>
      </c>
      <c r="BX4" s="57">
        <v>44196</v>
      </c>
      <c r="BY4" s="3">
        <v>44286</v>
      </c>
      <c r="BZ4" s="3">
        <v>44377</v>
      </c>
      <c r="CA4" s="3">
        <v>44469</v>
      </c>
      <c r="CB4" s="3">
        <v>44561</v>
      </c>
      <c r="CC4" s="57">
        <v>44561</v>
      </c>
      <c r="CD4" s="3">
        <v>44651</v>
      </c>
      <c r="CE4" s="3">
        <v>44742</v>
      </c>
      <c r="CF4" s="3">
        <v>44834</v>
      </c>
      <c r="CG4" s="3">
        <v>44926</v>
      </c>
      <c r="CH4" s="57">
        <v>44926</v>
      </c>
      <c r="CI4" s="3">
        <v>45016</v>
      </c>
      <c r="CJ4" s="3">
        <v>45107</v>
      </c>
      <c r="CK4" s="3">
        <v>45199</v>
      </c>
      <c r="CL4" s="3">
        <v>45291</v>
      </c>
      <c r="CM4" s="57">
        <v>45291</v>
      </c>
      <c r="CN4" s="3">
        <v>45382</v>
      </c>
      <c r="CO4" s="3">
        <v>45473</v>
      </c>
      <c r="CP4" s="3">
        <v>45565</v>
      </c>
      <c r="CQ4" s="3">
        <v>45657</v>
      </c>
      <c r="CR4" s="57">
        <v>45657</v>
      </c>
    </row>
    <row r="5" spans="1:96" s="2" customFormat="1" ht="11.15" customHeight="1" x14ac:dyDescent="0.25">
      <c r="A5" s="6" t="s">
        <v>208</v>
      </c>
      <c r="B5" s="4"/>
      <c r="C5" s="4"/>
      <c r="D5" s="5"/>
      <c r="E5" s="5"/>
      <c r="F5" s="69"/>
      <c r="G5" s="4"/>
      <c r="H5" s="4"/>
      <c r="I5" s="5"/>
      <c r="J5" s="5"/>
      <c r="K5" s="69"/>
      <c r="L5" s="4"/>
      <c r="M5" s="4"/>
      <c r="N5" s="5"/>
      <c r="O5" s="5"/>
      <c r="P5" s="69"/>
      <c r="Q5" s="4"/>
      <c r="R5" s="4"/>
      <c r="S5" s="5"/>
      <c r="T5" s="5"/>
      <c r="U5" s="69"/>
      <c r="V5" s="4"/>
      <c r="W5" s="4"/>
      <c r="X5" s="5"/>
      <c r="Y5" s="5"/>
      <c r="Z5" s="69"/>
      <c r="AA5" s="4"/>
      <c r="AB5" s="4"/>
      <c r="AC5" s="5"/>
      <c r="AD5" s="5"/>
      <c r="AE5" s="69"/>
      <c r="AF5" s="4"/>
      <c r="AG5" s="4"/>
      <c r="AH5" s="5"/>
      <c r="AI5" s="5"/>
      <c r="AJ5" s="69"/>
      <c r="AK5" s="4"/>
      <c r="AL5" s="4"/>
      <c r="AM5" s="5"/>
      <c r="AN5" s="5"/>
      <c r="AO5" s="69"/>
      <c r="AP5" s="4"/>
      <c r="AQ5" s="4"/>
      <c r="AR5" s="5"/>
      <c r="AS5" s="5"/>
      <c r="AT5" s="69"/>
      <c r="AU5" s="4"/>
      <c r="AV5" s="4"/>
      <c r="AW5" s="5"/>
      <c r="AX5" s="5"/>
      <c r="AY5" s="69"/>
      <c r="AZ5" s="4"/>
      <c r="BA5" s="4"/>
      <c r="BB5" s="5"/>
      <c r="BC5" s="5"/>
      <c r="BD5" s="69"/>
      <c r="BE5" s="4"/>
      <c r="BF5" s="4"/>
      <c r="BG5" s="5"/>
      <c r="BH5" s="5"/>
      <c r="BI5" s="69"/>
      <c r="BJ5" s="4"/>
      <c r="BK5" s="4"/>
      <c r="BL5" s="5"/>
      <c r="BM5" s="5"/>
      <c r="BN5" s="69"/>
      <c r="BO5" s="4"/>
      <c r="BP5" s="4"/>
      <c r="BQ5" s="5"/>
      <c r="BR5" s="5"/>
      <c r="BS5" s="69"/>
      <c r="BT5" s="4"/>
      <c r="BU5" s="4"/>
      <c r="BV5" s="5"/>
      <c r="BW5" s="5"/>
      <c r="BX5" s="69"/>
      <c r="BY5" s="4"/>
      <c r="BZ5" s="4"/>
      <c r="CA5" s="5"/>
      <c r="CB5" s="5"/>
      <c r="CC5" s="69"/>
      <c r="CD5" s="4"/>
      <c r="CE5" s="4"/>
      <c r="CF5" s="5"/>
      <c r="CG5" s="5"/>
      <c r="CH5" s="69"/>
      <c r="CM5" s="69"/>
      <c r="CR5" s="69"/>
    </row>
    <row r="6" spans="1:96" s="2" customFormat="1" ht="11.15" customHeight="1" x14ac:dyDescent="0.25">
      <c r="A6" s="7" t="s">
        <v>45</v>
      </c>
      <c r="B6" s="8"/>
      <c r="C6" s="8"/>
      <c r="D6" s="8"/>
      <c r="E6" s="8"/>
      <c r="F6" s="58">
        <f>SUM(B6:E6)</f>
        <v>0</v>
      </c>
      <c r="G6" s="8"/>
      <c r="H6" s="8"/>
      <c r="I6" s="8"/>
      <c r="J6" s="8"/>
      <c r="K6" s="58">
        <f>SUM(G6:J6)</f>
        <v>0</v>
      </c>
      <c r="L6" s="8"/>
      <c r="M6" s="8"/>
      <c r="N6" s="8"/>
      <c r="O6" s="8"/>
      <c r="P6" s="58">
        <f>SUM(L6:O6)</f>
        <v>0</v>
      </c>
      <c r="Q6" s="8"/>
      <c r="R6" s="8"/>
      <c r="S6" s="8"/>
      <c r="T6" s="8"/>
      <c r="U6" s="58">
        <f>SUM(Q6:T6)</f>
        <v>0</v>
      </c>
      <c r="V6" s="40"/>
      <c r="W6" s="40"/>
      <c r="X6" s="40"/>
      <c r="Y6" s="40">
        <v>145</v>
      </c>
      <c r="Z6" s="70">
        <v>727</v>
      </c>
      <c r="AA6" s="40">
        <v>521</v>
      </c>
      <c r="AB6" s="40">
        <v>363</v>
      </c>
      <c r="AC6" s="40">
        <v>419</v>
      </c>
      <c r="AD6" s="40">
        <v>428</v>
      </c>
      <c r="AE6" s="58">
        <f>SUM(AA6:AD6)</f>
        <v>1731</v>
      </c>
      <c r="AF6" s="40">
        <v>460</v>
      </c>
      <c r="AG6" s="40">
        <v>567</v>
      </c>
      <c r="AH6" s="40">
        <v>563</v>
      </c>
      <c r="AI6" s="40">
        <v>594</v>
      </c>
      <c r="AJ6" s="58">
        <f>SUM(AF6:AI6)</f>
        <v>2184</v>
      </c>
      <c r="AK6" s="40">
        <v>676</v>
      </c>
      <c r="AL6" s="40">
        <v>806</v>
      </c>
      <c r="AM6" s="40">
        <v>842</v>
      </c>
      <c r="AN6" s="40">
        <v>863</v>
      </c>
      <c r="AO6" s="58">
        <f>SUM(AK6:AN6)</f>
        <v>3187</v>
      </c>
      <c r="AP6" s="40">
        <v>890</v>
      </c>
      <c r="AQ6" s="40">
        <v>1041</v>
      </c>
      <c r="AR6" s="40">
        <v>1091</v>
      </c>
      <c r="AS6" s="40">
        <v>1131</v>
      </c>
      <c r="AT6" s="58">
        <f>SUM(AP6:AS6)</f>
        <v>4153</v>
      </c>
      <c r="AU6" s="40">
        <v>1156</v>
      </c>
      <c r="AV6" s="40">
        <v>1359</v>
      </c>
      <c r="AW6" s="40">
        <v>1404</v>
      </c>
      <c r="AX6" s="40">
        <v>1397</v>
      </c>
      <c r="AY6" s="58">
        <f>SUM(AU6:AX6)</f>
        <v>5316</v>
      </c>
      <c r="AZ6" s="40">
        <v>1419</v>
      </c>
      <c r="BA6" s="40">
        <v>1545</v>
      </c>
      <c r="BB6" s="40">
        <v>1615</v>
      </c>
      <c r="BC6" s="40">
        <v>1439</v>
      </c>
      <c r="BD6" s="58">
        <f>SUM(AZ6:BC6)</f>
        <v>6018</v>
      </c>
      <c r="BE6" s="40">
        <v>1391</v>
      </c>
      <c r="BF6" s="40">
        <v>1462</v>
      </c>
      <c r="BG6" s="40">
        <v>1467</v>
      </c>
      <c r="BH6" s="40">
        <v>1543</v>
      </c>
      <c r="BI6" s="58">
        <f>SUM(BE6:BH6)</f>
        <v>5863</v>
      </c>
      <c r="BJ6" s="40">
        <v>1568</v>
      </c>
      <c r="BK6" s="40">
        <v>1755</v>
      </c>
      <c r="BL6" s="40">
        <v>1920</v>
      </c>
      <c r="BM6" s="40">
        <v>1292</v>
      </c>
      <c r="BN6" s="58">
        <f>SUM(BJ6:BM6)</f>
        <v>6535</v>
      </c>
      <c r="BO6" s="40">
        <v>2039</v>
      </c>
      <c r="BP6" s="40">
        <v>2192</v>
      </c>
      <c r="BQ6" s="40">
        <v>2575</v>
      </c>
      <c r="BR6" s="40">
        <v>2443</v>
      </c>
      <c r="BS6" s="58">
        <f>SUM(BO6:BR6)</f>
        <v>9249</v>
      </c>
      <c r="BT6" s="40">
        <v>2532</v>
      </c>
      <c r="BU6" s="40">
        <v>2507</v>
      </c>
      <c r="BV6" s="40">
        <v>2663</v>
      </c>
      <c r="BW6" s="40">
        <v>2690</v>
      </c>
      <c r="BX6" s="58">
        <f>SUM(BT6:BW6)</f>
        <v>10392</v>
      </c>
      <c r="BY6" s="40">
        <v>2626</v>
      </c>
      <c r="BZ6" s="40">
        <v>2843</v>
      </c>
      <c r="CA6" s="40">
        <v>2866</v>
      </c>
      <c r="CB6" s="40">
        <v>2910</v>
      </c>
      <c r="CC6" s="58">
        <f>SUM(BY6:CB6)</f>
        <v>11245</v>
      </c>
      <c r="CD6" s="40">
        <v>3058</v>
      </c>
      <c r="CE6" s="40">
        <v>3215</v>
      </c>
      <c r="CF6" s="40">
        <v>2961</v>
      </c>
      <c r="CG6" s="40">
        <v>2507</v>
      </c>
      <c r="CH6" s="58">
        <f>SUM(CD6:CG6)</f>
        <v>11741</v>
      </c>
      <c r="CI6" s="40">
        <v>2646</v>
      </c>
      <c r="CJ6" s="40">
        <v>2515</v>
      </c>
      <c r="CK6" s="40">
        <v>1503</v>
      </c>
      <c r="CL6" s="40">
        <v>1265</v>
      </c>
      <c r="CM6" s="58">
        <f>SUM(CI6:CL6)</f>
        <v>7929</v>
      </c>
      <c r="CN6" s="40">
        <v>2075</v>
      </c>
      <c r="CO6" s="40">
        <v>2191</v>
      </c>
      <c r="CP6" s="40"/>
      <c r="CQ6" s="40"/>
      <c r="CR6" s="58">
        <f>SUM(CN6:CQ6)</f>
        <v>4266</v>
      </c>
    </row>
    <row r="7" spans="1:96" ht="11.15" customHeight="1" x14ac:dyDescent="0.2">
      <c r="A7" s="7" t="s">
        <v>1</v>
      </c>
      <c r="B7" s="11"/>
      <c r="C7" s="11"/>
      <c r="D7" s="11"/>
      <c r="E7" s="11"/>
      <c r="F7" s="61">
        <f t="shared" ref="F7:F11" si="0">SUM(B7:E7)</f>
        <v>0</v>
      </c>
      <c r="G7" s="11"/>
      <c r="H7" s="11"/>
      <c r="I7" s="11"/>
      <c r="J7" s="11"/>
      <c r="K7" s="61">
        <f t="shared" ref="K7:K11" si="1">SUM(G7:J7)</f>
        <v>0</v>
      </c>
      <c r="L7" s="11"/>
      <c r="M7" s="11"/>
      <c r="N7" s="11"/>
      <c r="O7" s="11"/>
      <c r="P7" s="61">
        <f t="shared" ref="P7:P11" si="2">SUM(L7:O7)</f>
        <v>0</v>
      </c>
      <c r="Q7" s="11"/>
      <c r="R7" s="11"/>
      <c r="S7" s="11"/>
      <c r="T7" s="11"/>
      <c r="U7" s="61">
        <f t="shared" ref="U7:U11" si="3">SUM(Q7:T7)</f>
        <v>0</v>
      </c>
      <c r="V7" s="36"/>
      <c r="W7" s="36"/>
      <c r="X7" s="36"/>
      <c r="Y7" s="36">
        <v>198</v>
      </c>
      <c r="Z7" s="65">
        <v>801</v>
      </c>
      <c r="AA7" s="36">
        <v>565</v>
      </c>
      <c r="AB7" s="36">
        <v>330</v>
      </c>
      <c r="AC7" s="36">
        <v>311</v>
      </c>
      <c r="AD7" s="36">
        <v>297</v>
      </c>
      <c r="AE7" s="61">
        <f t="shared" ref="AE7:AE11" si="4">SUM(AA7:AD7)</f>
        <v>1503</v>
      </c>
      <c r="AF7" s="36">
        <v>252</v>
      </c>
      <c r="AG7" s="36">
        <v>286</v>
      </c>
      <c r="AH7" s="36">
        <v>289</v>
      </c>
      <c r="AI7" s="36">
        <v>225</v>
      </c>
      <c r="AJ7" s="61">
        <f t="shared" ref="AJ7:AJ11" si="5">SUM(AF7:AI7)</f>
        <v>1052</v>
      </c>
      <c r="AK7" s="36">
        <v>284</v>
      </c>
      <c r="AL7" s="36">
        <v>317</v>
      </c>
      <c r="AM7" s="36">
        <v>327</v>
      </c>
      <c r="AN7" s="36">
        <v>267</v>
      </c>
      <c r="AO7" s="61">
        <f t="shared" ref="AO7:AO11" si="6">SUM(AK7:AN7)</f>
        <v>1195</v>
      </c>
      <c r="AP7" s="36">
        <v>373</v>
      </c>
      <c r="AQ7" s="36">
        <v>434</v>
      </c>
      <c r="AR7" s="36">
        <v>318</v>
      </c>
      <c r="AS7" s="36">
        <v>442</v>
      </c>
      <c r="AT7" s="61">
        <f t="shared" ref="AT7:AT11" si="7">SUM(AP7:AS7)</f>
        <v>1567</v>
      </c>
      <c r="AU7" s="36">
        <v>435</v>
      </c>
      <c r="AV7" s="36">
        <v>509</v>
      </c>
      <c r="AW7" s="36">
        <v>522</v>
      </c>
      <c r="AX7" s="36">
        <v>532</v>
      </c>
      <c r="AY7" s="61">
        <f t="shared" ref="AY7" si="8">SUM(AU7:AX7)</f>
        <v>1998</v>
      </c>
      <c r="AZ7" s="36">
        <v>415</v>
      </c>
      <c r="BA7" s="36">
        <v>497</v>
      </c>
      <c r="BB7" s="36">
        <v>385</v>
      </c>
      <c r="BC7" s="36">
        <v>523</v>
      </c>
      <c r="BD7" s="61">
        <f t="shared" ref="BD7:BD9" si="9">SUM(AZ7:BC7)</f>
        <v>1820</v>
      </c>
      <c r="BE7" s="36">
        <v>452</v>
      </c>
      <c r="BF7" s="36">
        <v>516</v>
      </c>
      <c r="BG7" s="36">
        <v>536</v>
      </c>
      <c r="BH7" s="36">
        <v>537</v>
      </c>
      <c r="BI7" s="61">
        <f t="shared" ref="BI7:BI9" si="10">SUM(BE7:BH7)</f>
        <v>2041</v>
      </c>
      <c r="BJ7" s="36">
        <v>556</v>
      </c>
      <c r="BK7" s="36">
        <v>671</v>
      </c>
      <c r="BL7" s="36">
        <v>737</v>
      </c>
      <c r="BM7" s="36">
        <v>586</v>
      </c>
      <c r="BN7" s="61">
        <f t="shared" ref="BN7:BN9" si="11">SUM(BJ7:BM7)</f>
        <v>2550</v>
      </c>
      <c r="BO7" s="36">
        <v>787</v>
      </c>
      <c r="BP7" s="36">
        <v>854</v>
      </c>
      <c r="BQ7" s="36">
        <v>1266</v>
      </c>
      <c r="BR7" s="36">
        <v>908</v>
      </c>
      <c r="BS7" s="61">
        <f t="shared" ref="BS7:BS9" si="12">SUM(BO7:BR7)</f>
        <v>3815</v>
      </c>
      <c r="BT7" s="36">
        <v>961</v>
      </c>
      <c r="BU7" s="36">
        <v>1188</v>
      </c>
      <c r="BV7" s="36">
        <v>1126</v>
      </c>
      <c r="BW7" s="36">
        <v>1120</v>
      </c>
      <c r="BX7" s="61">
        <f t="shared" ref="BX7:BX9" si="13">SUM(BT7:BW7)</f>
        <v>4395</v>
      </c>
      <c r="BY7" s="36">
        <v>1160</v>
      </c>
      <c r="BZ7" s="36">
        <v>1247</v>
      </c>
      <c r="CA7" s="36">
        <v>1244</v>
      </c>
      <c r="CB7" s="36">
        <v>669</v>
      </c>
      <c r="CC7" s="61">
        <f t="shared" ref="CC7:CC9" si="14">SUM(BY7:CB7)</f>
        <v>4320</v>
      </c>
      <c r="CD7" s="36">
        <v>1209</v>
      </c>
      <c r="CE7" s="101">
        <v>1309</v>
      </c>
      <c r="CF7" s="101">
        <v>1191</v>
      </c>
      <c r="CG7" s="101">
        <v>1180</v>
      </c>
      <c r="CH7" s="61">
        <f t="shared" ref="CH7:CH9" si="15">SUM(CD7:CG7)</f>
        <v>4889</v>
      </c>
      <c r="CI7" s="101">
        <v>1293</v>
      </c>
      <c r="CJ7" s="101">
        <v>1390</v>
      </c>
      <c r="CK7" s="101">
        <v>1362</v>
      </c>
      <c r="CL7" s="101">
        <v>1376</v>
      </c>
      <c r="CM7" s="61">
        <f>SUM(CI7:CL7)</f>
        <v>5421</v>
      </c>
      <c r="CN7" s="101">
        <v>1502</v>
      </c>
      <c r="CO7" s="101">
        <v>1455</v>
      </c>
      <c r="CP7" s="101"/>
      <c r="CQ7" s="101"/>
      <c r="CR7" s="61">
        <f>SUM(CN7:CQ7)</f>
        <v>2957</v>
      </c>
    </row>
    <row r="8" spans="1:96" ht="11.15" customHeight="1" x14ac:dyDescent="0.2">
      <c r="A8" s="7" t="s">
        <v>12</v>
      </c>
      <c r="B8" s="11"/>
      <c r="C8" s="11"/>
      <c r="D8" s="11"/>
      <c r="E8" s="11"/>
      <c r="F8" s="61">
        <f t="shared" si="0"/>
        <v>0</v>
      </c>
      <c r="G8" s="11"/>
      <c r="H8" s="11"/>
      <c r="I8" s="11"/>
      <c r="J8" s="11"/>
      <c r="K8" s="61">
        <f t="shared" si="1"/>
        <v>0</v>
      </c>
      <c r="L8" s="11"/>
      <c r="M8" s="11"/>
      <c r="N8" s="11"/>
      <c r="O8" s="11"/>
      <c r="P8" s="61">
        <f t="shared" si="2"/>
        <v>0</v>
      </c>
      <c r="Q8" s="11"/>
      <c r="R8" s="11"/>
      <c r="S8" s="11"/>
      <c r="T8" s="11"/>
      <c r="U8" s="61">
        <f t="shared" si="3"/>
        <v>0</v>
      </c>
      <c r="V8" s="36"/>
      <c r="W8" s="36"/>
      <c r="X8" s="36"/>
      <c r="Y8" s="36">
        <v>103</v>
      </c>
      <c r="Z8" s="65">
        <v>446</v>
      </c>
      <c r="AA8" s="36">
        <v>280</v>
      </c>
      <c r="AB8" s="36">
        <v>257</v>
      </c>
      <c r="AC8" s="36">
        <v>252</v>
      </c>
      <c r="AD8" s="36">
        <v>247</v>
      </c>
      <c r="AE8" s="61">
        <f t="shared" si="4"/>
        <v>1036</v>
      </c>
      <c r="AF8" s="36">
        <v>303</v>
      </c>
      <c r="AG8" s="36">
        <v>339</v>
      </c>
      <c r="AH8" s="36">
        <v>334</v>
      </c>
      <c r="AI8" s="36">
        <v>351</v>
      </c>
      <c r="AJ8" s="61">
        <f t="shared" si="5"/>
        <v>1327</v>
      </c>
      <c r="AK8" s="36">
        <v>382</v>
      </c>
      <c r="AL8" s="36">
        <v>482</v>
      </c>
      <c r="AM8" s="36">
        <v>512</v>
      </c>
      <c r="AN8" s="36">
        <v>552</v>
      </c>
      <c r="AO8" s="61">
        <f t="shared" si="6"/>
        <v>1928</v>
      </c>
      <c r="AP8" s="36">
        <v>654</v>
      </c>
      <c r="AQ8" s="36">
        <v>772</v>
      </c>
      <c r="AR8" s="36">
        <v>803</v>
      </c>
      <c r="AS8" s="36">
        <v>804</v>
      </c>
      <c r="AT8" s="61">
        <f t="shared" si="7"/>
        <v>3033</v>
      </c>
      <c r="AU8" s="36">
        <v>870</v>
      </c>
      <c r="AV8" s="36">
        <v>993</v>
      </c>
      <c r="AW8" s="36">
        <v>1077</v>
      </c>
      <c r="AX8" s="36">
        <v>1109</v>
      </c>
      <c r="AY8" s="61">
        <f t="shared" ref="AY8" si="16">SUM(AU8:AX8)</f>
        <v>4049</v>
      </c>
      <c r="AZ8" s="36">
        <v>1093</v>
      </c>
      <c r="BA8" s="36">
        <v>1220</v>
      </c>
      <c r="BB8" s="36">
        <v>1268</v>
      </c>
      <c r="BC8" s="36">
        <v>1324</v>
      </c>
      <c r="BD8" s="61">
        <f t="shared" si="9"/>
        <v>4905</v>
      </c>
      <c r="BE8" s="36">
        <v>1205</v>
      </c>
      <c r="BF8" s="36">
        <v>1232</v>
      </c>
      <c r="BG8" s="36">
        <v>1278</v>
      </c>
      <c r="BH8" s="36">
        <v>1286</v>
      </c>
      <c r="BI8" s="61">
        <f t="shared" si="10"/>
        <v>5001</v>
      </c>
      <c r="BJ8" s="36">
        <v>1416</v>
      </c>
      <c r="BK8" s="36">
        <v>1697</v>
      </c>
      <c r="BL8" s="36">
        <v>1781</v>
      </c>
      <c r="BM8" s="36">
        <v>1516</v>
      </c>
      <c r="BN8" s="61">
        <f t="shared" si="11"/>
        <v>6410</v>
      </c>
      <c r="BO8" s="36">
        <v>1857</v>
      </c>
      <c r="BP8" s="36">
        <v>2063</v>
      </c>
      <c r="BQ8" s="36">
        <v>2035</v>
      </c>
      <c r="BR8" s="36">
        <v>1735</v>
      </c>
      <c r="BS8" s="61">
        <f t="shared" si="12"/>
        <v>7690</v>
      </c>
      <c r="BT8" s="36">
        <v>2072</v>
      </c>
      <c r="BU8" s="36">
        <v>2475</v>
      </c>
      <c r="BV8" s="36">
        <v>2258</v>
      </c>
      <c r="BW8" s="36">
        <v>2317</v>
      </c>
      <c r="BX8" s="61">
        <f t="shared" si="13"/>
        <v>9122</v>
      </c>
      <c r="BY8" s="36">
        <v>2118</v>
      </c>
      <c r="BZ8" s="36">
        <v>2472</v>
      </c>
      <c r="CA8" s="36">
        <v>2465</v>
      </c>
      <c r="CB8" s="36">
        <v>2478</v>
      </c>
      <c r="CC8" s="61">
        <f t="shared" si="14"/>
        <v>9533</v>
      </c>
      <c r="CD8" s="36">
        <v>2529</v>
      </c>
      <c r="CE8" s="101">
        <v>2374</v>
      </c>
      <c r="CF8" s="101">
        <v>986</v>
      </c>
      <c r="CG8" s="101">
        <v>1696</v>
      </c>
      <c r="CH8" s="61">
        <f t="shared" si="15"/>
        <v>7585</v>
      </c>
      <c r="CI8" s="101">
        <v>1796</v>
      </c>
      <c r="CJ8" s="101">
        <v>2045</v>
      </c>
      <c r="CK8" s="101">
        <v>2330</v>
      </c>
      <c r="CL8" s="101">
        <v>3225</v>
      </c>
      <c r="CM8" s="61">
        <f t="shared" ref="CM8:CM9" si="17">SUM(CI8:CL8)</f>
        <v>9396</v>
      </c>
      <c r="CN8" s="101">
        <v>2631</v>
      </c>
      <c r="CO8" s="101">
        <v>2451</v>
      </c>
      <c r="CP8" s="101"/>
      <c r="CQ8" s="101"/>
      <c r="CR8" s="61">
        <f t="shared" ref="CR8:CR9" si="18">SUM(CN8:CQ8)</f>
        <v>5082</v>
      </c>
    </row>
    <row r="9" spans="1:96" ht="11.15" customHeight="1" x14ac:dyDescent="0.2">
      <c r="A9" s="7" t="s">
        <v>23</v>
      </c>
      <c r="B9" s="9"/>
      <c r="C9" s="9"/>
      <c r="D9" s="9"/>
      <c r="E9" s="9"/>
      <c r="F9" s="59">
        <f t="shared" si="0"/>
        <v>0</v>
      </c>
      <c r="G9" s="9"/>
      <c r="H9" s="9"/>
      <c r="I9" s="9"/>
      <c r="J9" s="9"/>
      <c r="K9" s="59">
        <f t="shared" si="1"/>
        <v>0</v>
      </c>
      <c r="L9" s="9"/>
      <c r="M9" s="9"/>
      <c r="N9" s="9"/>
      <c r="O9" s="9"/>
      <c r="P9" s="59">
        <f t="shared" si="2"/>
        <v>0</v>
      </c>
      <c r="Q9" s="9"/>
      <c r="R9" s="9"/>
      <c r="S9" s="9"/>
      <c r="T9" s="9"/>
      <c r="U9" s="59">
        <f t="shared" si="3"/>
        <v>0</v>
      </c>
      <c r="V9" s="37"/>
      <c r="W9" s="37"/>
      <c r="X9" s="37"/>
      <c r="Y9" s="37">
        <v>272</v>
      </c>
      <c r="Z9" s="71">
        <v>1222</v>
      </c>
      <c r="AA9" s="37">
        <v>1241</v>
      </c>
      <c r="AB9" s="37">
        <v>744</v>
      </c>
      <c r="AC9" s="37">
        <v>897</v>
      </c>
      <c r="AD9" s="37">
        <v>896</v>
      </c>
      <c r="AE9" s="59">
        <f t="shared" si="4"/>
        <v>3778</v>
      </c>
      <c r="AF9" s="37">
        <v>983</v>
      </c>
      <c r="AG9" s="37">
        <v>1009</v>
      </c>
      <c r="AH9" s="37">
        <v>973</v>
      </c>
      <c r="AI9" s="37">
        <v>1037</v>
      </c>
      <c r="AJ9" s="59">
        <f t="shared" si="5"/>
        <v>4002</v>
      </c>
      <c r="AK9" s="37">
        <v>1190</v>
      </c>
      <c r="AL9" s="37">
        <v>1335</v>
      </c>
      <c r="AM9" s="37">
        <v>1450</v>
      </c>
      <c r="AN9" s="37">
        <v>1434</v>
      </c>
      <c r="AO9" s="59">
        <f t="shared" si="6"/>
        <v>5409</v>
      </c>
      <c r="AP9" s="37">
        <v>1350</v>
      </c>
      <c r="AQ9" s="37">
        <v>1658</v>
      </c>
      <c r="AR9" s="37">
        <v>1683</v>
      </c>
      <c r="AS9" s="37">
        <v>1728</v>
      </c>
      <c r="AT9" s="59">
        <f t="shared" si="7"/>
        <v>6419</v>
      </c>
      <c r="AU9" s="37">
        <v>1666</v>
      </c>
      <c r="AV9" s="37">
        <v>1874</v>
      </c>
      <c r="AW9" s="37">
        <v>2010</v>
      </c>
      <c r="AX9" s="37">
        <v>2076</v>
      </c>
      <c r="AY9" s="59">
        <f t="shared" ref="AY9" si="19">SUM(AU9:AX9)</f>
        <v>7626</v>
      </c>
      <c r="AZ9" s="37">
        <v>2032</v>
      </c>
      <c r="BA9" s="37">
        <v>2215</v>
      </c>
      <c r="BB9" s="37">
        <v>2395</v>
      </c>
      <c r="BC9" s="37">
        <v>2349</v>
      </c>
      <c r="BD9" s="59">
        <f t="shared" si="9"/>
        <v>8991</v>
      </c>
      <c r="BE9" s="37">
        <v>2303</v>
      </c>
      <c r="BF9" s="37">
        <v>2498</v>
      </c>
      <c r="BG9" s="37">
        <v>2649</v>
      </c>
      <c r="BH9" s="37">
        <v>2666</v>
      </c>
      <c r="BI9" s="59">
        <f t="shared" si="10"/>
        <v>10116</v>
      </c>
      <c r="BJ9" s="37">
        <v>2875</v>
      </c>
      <c r="BK9" s="37">
        <v>3186</v>
      </c>
      <c r="BL9" s="37">
        <v>3281</v>
      </c>
      <c r="BM9" s="37">
        <v>3190</v>
      </c>
      <c r="BN9" s="59">
        <f t="shared" si="11"/>
        <v>12532</v>
      </c>
      <c r="BO9" s="37">
        <v>3455</v>
      </c>
      <c r="BP9" s="37">
        <v>3963</v>
      </c>
      <c r="BQ9" s="37">
        <v>2678</v>
      </c>
      <c r="BR9" s="37">
        <v>2728</v>
      </c>
      <c r="BS9" s="59">
        <f t="shared" si="12"/>
        <v>12824</v>
      </c>
      <c r="BT9" s="37">
        <v>2874</v>
      </c>
      <c r="BU9" s="37">
        <v>3092</v>
      </c>
      <c r="BV9" s="37">
        <v>2732</v>
      </c>
      <c r="BW9" s="37">
        <v>3051</v>
      </c>
      <c r="BX9" s="59">
        <f t="shared" si="13"/>
        <v>11749</v>
      </c>
      <c r="BY9" s="37">
        <v>2949</v>
      </c>
      <c r="BZ9" s="37">
        <v>3349</v>
      </c>
      <c r="CA9" s="37">
        <v>3256</v>
      </c>
      <c r="CB9" s="37">
        <v>3329</v>
      </c>
      <c r="CC9" s="59">
        <f t="shared" si="14"/>
        <v>12883</v>
      </c>
      <c r="CD9" s="37">
        <v>3162</v>
      </c>
      <c r="CE9" s="37">
        <v>3568</v>
      </c>
      <c r="CF9" s="37">
        <v>3640</v>
      </c>
      <c r="CG9" s="37">
        <v>3750</v>
      </c>
      <c r="CH9" s="59">
        <f t="shared" si="15"/>
        <v>14120</v>
      </c>
      <c r="CI9" s="37">
        <v>3876</v>
      </c>
      <c r="CJ9" s="37">
        <v>3757</v>
      </c>
      <c r="CK9" s="37">
        <v>2949</v>
      </c>
      <c r="CL9" s="37">
        <v>6276</v>
      </c>
      <c r="CM9" s="59">
        <f t="shared" si="17"/>
        <v>16858</v>
      </c>
      <c r="CN9" s="37">
        <v>3524</v>
      </c>
      <c r="CO9" s="37">
        <v>2473</v>
      </c>
      <c r="CP9" s="37"/>
      <c r="CQ9" s="37"/>
      <c r="CR9" s="59">
        <f t="shared" si="18"/>
        <v>5997</v>
      </c>
    </row>
    <row r="10" spans="1:96" s="2" customFormat="1" ht="11.15" customHeight="1" x14ac:dyDescent="0.25">
      <c r="A10" s="21" t="s">
        <v>230</v>
      </c>
      <c r="B10" s="36">
        <v>0</v>
      </c>
      <c r="C10" s="36">
        <f>126-B10</f>
        <v>126</v>
      </c>
      <c r="D10" s="36">
        <f>317-C10-B10</f>
        <v>191</v>
      </c>
      <c r="E10" s="36">
        <f>533-D10-C10-B10</f>
        <v>216</v>
      </c>
      <c r="F10" s="61">
        <f t="shared" si="0"/>
        <v>533</v>
      </c>
      <c r="G10" s="36">
        <v>219</v>
      </c>
      <c r="H10" s="36">
        <f>509-G10</f>
        <v>290</v>
      </c>
      <c r="I10" s="36">
        <f>905-H10-G10</f>
        <v>396</v>
      </c>
      <c r="J10" s="36">
        <f>1324-I10-H10-G10</f>
        <v>419</v>
      </c>
      <c r="K10" s="61">
        <f t="shared" si="1"/>
        <v>1324</v>
      </c>
      <c r="L10" s="36">
        <v>387</v>
      </c>
      <c r="M10" s="36">
        <f>1004-L10</f>
        <v>617</v>
      </c>
      <c r="N10" s="36">
        <f>1499-M10-L10</f>
        <v>495</v>
      </c>
      <c r="O10" s="36">
        <f>2074-N10-M10-L10</f>
        <v>575</v>
      </c>
      <c r="P10" s="61">
        <f t="shared" si="2"/>
        <v>2074</v>
      </c>
      <c r="Q10" s="36">
        <v>635</v>
      </c>
      <c r="R10" s="36">
        <f>1205-Q10</f>
        <v>570</v>
      </c>
      <c r="S10" s="36">
        <f>1992-R10-Q10</f>
        <v>787</v>
      </c>
      <c r="T10" s="36">
        <f>2767-S10-R10-Q10</f>
        <v>775</v>
      </c>
      <c r="U10" s="61">
        <f t="shared" si="3"/>
        <v>2767</v>
      </c>
      <c r="V10" s="36">
        <v>770</v>
      </c>
      <c r="W10" s="36">
        <f>1563-V10</f>
        <v>793</v>
      </c>
      <c r="X10" s="36">
        <f>2478-W10-V10</f>
        <v>915</v>
      </c>
      <c r="Y10" s="11">
        <f t="shared" ref="Y10" si="20">SUM(Y6:Y9)</f>
        <v>718</v>
      </c>
      <c r="Z10" s="61">
        <f>SUM(Z6:Z9)</f>
        <v>3196</v>
      </c>
      <c r="AA10" s="11">
        <f t="shared" ref="AA10:AD10" si="21">SUM(AA6:AA9)</f>
        <v>2607</v>
      </c>
      <c r="AB10" s="11">
        <f t="shared" si="21"/>
        <v>1694</v>
      </c>
      <c r="AC10" s="11">
        <f t="shared" si="21"/>
        <v>1879</v>
      </c>
      <c r="AD10" s="11">
        <f t="shared" si="21"/>
        <v>1868</v>
      </c>
      <c r="AE10" s="61">
        <f t="shared" si="4"/>
        <v>8048</v>
      </c>
      <c r="AF10" s="11">
        <f t="shared" ref="AF10:AG10" si="22">SUM(AF6:AF9)</f>
        <v>1998</v>
      </c>
      <c r="AG10" s="11">
        <f t="shared" si="22"/>
        <v>2201</v>
      </c>
      <c r="AH10" s="11">
        <f>SUM(AH6:AH9)</f>
        <v>2159</v>
      </c>
      <c r="AI10" s="11">
        <f t="shared" ref="AI10" si="23">SUM(AI6:AI9)</f>
        <v>2207</v>
      </c>
      <c r="AJ10" s="61">
        <f t="shared" si="5"/>
        <v>8565</v>
      </c>
      <c r="AK10" s="11">
        <f t="shared" ref="AK10" si="24">SUM(AK6:AK9)</f>
        <v>2532</v>
      </c>
      <c r="AL10" s="11">
        <f t="shared" ref="AL10" si="25">SUM(AL6:AL9)</f>
        <v>2940</v>
      </c>
      <c r="AM10" s="11">
        <f>SUM(AM6:AM9)</f>
        <v>3131</v>
      </c>
      <c r="AN10" s="11">
        <f t="shared" ref="AN10" si="26">SUM(AN6:AN9)</f>
        <v>3116</v>
      </c>
      <c r="AO10" s="61">
        <f t="shared" si="6"/>
        <v>11719</v>
      </c>
      <c r="AP10" s="11">
        <f t="shared" ref="AP10" si="27">SUM(AP6:AP9)</f>
        <v>3267</v>
      </c>
      <c r="AQ10" s="11">
        <f t="shared" ref="AQ10" si="28">SUM(AQ6:AQ9)</f>
        <v>3905</v>
      </c>
      <c r="AR10" s="11">
        <f>SUM(AR6:AR9)</f>
        <v>3895</v>
      </c>
      <c r="AS10" s="11">
        <f t="shared" ref="AS10" si="29">SUM(AS6:AS9)</f>
        <v>4105</v>
      </c>
      <c r="AT10" s="61">
        <f t="shared" si="7"/>
        <v>15172</v>
      </c>
      <c r="AU10" s="11">
        <f t="shared" ref="AU10" si="30">SUM(AU6:AU9)</f>
        <v>4127</v>
      </c>
      <c r="AV10" s="11">
        <f t="shared" ref="AV10:AX10" si="31">SUM(AV6:AV9)</f>
        <v>4735</v>
      </c>
      <c r="AW10" s="11">
        <f>SUM(AW6:AW9)</f>
        <v>5013</v>
      </c>
      <c r="AX10" s="11">
        <f t="shared" si="31"/>
        <v>5114</v>
      </c>
      <c r="AY10" s="61">
        <f t="shared" ref="AY10:AY11" si="32">SUM(AU10:AX10)</f>
        <v>18989</v>
      </c>
      <c r="AZ10" s="11">
        <f t="shared" ref="AZ10:BA10" si="33">SUM(AZ6:AZ9)</f>
        <v>4959</v>
      </c>
      <c r="BA10" s="11">
        <f t="shared" si="33"/>
        <v>5477</v>
      </c>
      <c r="BB10" s="11">
        <f>SUM(BB6:BB9)</f>
        <v>5663</v>
      </c>
      <c r="BC10" s="11">
        <f t="shared" ref="BC10" si="34">SUM(BC6:BC9)</f>
        <v>5635</v>
      </c>
      <c r="BD10" s="61">
        <f t="shared" ref="BD10:BD11" si="35">SUM(AZ10:BC10)</f>
        <v>21734</v>
      </c>
      <c r="BE10" s="11">
        <f t="shared" ref="BE10:BH10" si="36">SUM(BE6:BE9)</f>
        <v>5351</v>
      </c>
      <c r="BF10" s="11">
        <f t="shared" si="36"/>
        <v>5708</v>
      </c>
      <c r="BG10" s="11">
        <f t="shared" si="36"/>
        <v>5930</v>
      </c>
      <c r="BH10" s="11">
        <f t="shared" si="36"/>
        <v>6032</v>
      </c>
      <c r="BI10" s="61">
        <f t="shared" ref="BI10:BI11" si="37">SUM(BE10:BH10)</f>
        <v>23021</v>
      </c>
      <c r="BJ10" s="11">
        <f t="shared" ref="BJ10:BL10" si="38">SUM(BJ6:BJ9)</f>
        <v>6415</v>
      </c>
      <c r="BK10" s="11">
        <f t="shared" si="38"/>
        <v>7309</v>
      </c>
      <c r="BL10" s="11">
        <f t="shared" si="38"/>
        <v>7719</v>
      </c>
      <c r="BM10" s="11">
        <f t="shared" ref="BM10:BO10" si="39">SUM(BM6:BM9)</f>
        <v>6584</v>
      </c>
      <c r="BN10" s="61">
        <f t="shared" ref="BN10:BN11" si="40">SUM(BJ10:BM10)</f>
        <v>28027</v>
      </c>
      <c r="BO10" s="11">
        <f t="shared" si="39"/>
        <v>8138</v>
      </c>
      <c r="BP10" s="11">
        <f t="shared" ref="BP10:BR10" si="41">SUM(BP6:BP9)</f>
        <v>9072</v>
      </c>
      <c r="BQ10" s="11">
        <f t="shared" si="41"/>
        <v>8554</v>
      </c>
      <c r="BR10" s="11">
        <f t="shared" si="41"/>
        <v>7814</v>
      </c>
      <c r="BS10" s="61">
        <f t="shared" ref="BS10:BS11" si="42">SUM(BO10:BR10)</f>
        <v>33578</v>
      </c>
      <c r="BT10" s="11">
        <f t="shared" ref="BT10:BW10" si="43">SUM(BT6:BT9)</f>
        <v>8439</v>
      </c>
      <c r="BU10" s="11">
        <f t="shared" si="43"/>
        <v>9262</v>
      </c>
      <c r="BV10" s="11">
        <f t="shared" si="43"/>
        <v>8779</v>
      </c>
      <c r="BW10" s="11">
        <f t="shared" si="43"/>
        <v>9178</v>
      </c>
      <c r="BX10" s="61">
        <f t="shared" ref="BX10:BX11" si="44">SUM(BT10:BW10)</f>
        <v>35658</v>
      </c>
      <c r="BY10" s="11">
        <f t="shared" ref="BY10:CB10" si="45">SUM(BY6:BY9)</f>
        <v>8853</v>
      </c>
      <c r="BZ10" s="11">
        <f t="shared" si="45"/>
        <v>9911</v>
      </c>
      <c r="CA10" s="11">
        <f t="shared" ref="CA10" si="46">SUM(CA6:CA9)</f>
        <v>9831</v>
      </c>
      <c r="CB10" s="11">
        <f t="shared" si="45"/>
        <v>9386</v>
      </c>
      <c r="CC10" s="61">
        <f t="shared" ref="CC10:CC11" si="47">SUM(BY10:CB10)</f>
        <v>37981</v>
      </c>
      <c r="CD10" s="11">
        <f t="shared" ref="CD10:CE10" si="48">SUM(CD6:CD9)</f>
        <v>9958</v>
      </c>
      <c r="CE10" s="11">
        <f t="shared" si="48"/>
        <v>10466</v>
      </c>
      <c r="CF10" s="11">
        <f t="shared" ref="CF10" si="49">SUM(CF6:CF9)</f>
        <v>8778</v>
      </c>
      <c r="CG10" s="11">
        <f>SUM(CG6:CG9)</f>
        <v>9133</v>
      </c>
      <c r="CH10" s="61">
        <f t="shared" ref="CH10:CH11" si="50">SUM(CD10:CG10)</f>
        <v>38335</v>
      </c>
      <c r="CI10" s="11">
        <f>SUM(CI6:CI9)</f>
        <v>9611</v>
      </c>
      <c r="CJ10" s="11">
        <f>SUM(CJ6:CJ9)</f>
        <v>9707</v>
      </c>
      <c r="CK10" s="11">
        <f>SUM(CK6:CK9)</f>
        <v>8144</v>
      </c>
      <c r="CL10" s="11">
        <f>SUM(CL6:CL9)</f>
        <v>12142</v>
      </c>
      <c r="CM10" s="61">
        <f t="shared" ref="CM10:CM11" si="51">SUM(CI10:CL10)</f>
        <v>39604</v>
      </c>
      <c r="CN10" s="11">
        <f>SUM(CN6:CN9)</f>
        <v>9732</v>
      </c>
      <c r="CO10" s="11">
        <f>SUM(CO6:CO9)</f>
        <v>8570</v>
      </c>
      <c r="CP10" s="11"/>
      <c r="CQ10" s="11"/>
      <c r="CR10" s="61">
        <f t="shared" ref="CR10:CR11" si="52">SUM(CN10:CQ10)</f>
        <v>18302</v>
      </c>
    </row>
    <row r="11" spans="1:96" s="2" customFormat="1" ht="11.15" customHeight="1" x14ac:dyDescent="0.25">
      <c r="A11" s="7" t="s">
        <v>226</v>
      </c>
      <c r="B11" s="9"/>
      <c r="C11" s="9"/>
      <c r="D11" s="9"/>
      <c r="E11" s="9"/>
      <c r="F11" s="59">
        <f t="shared" si="0"/>
        <v>0</v>
      </c>
      <c r="G11" s="9"/>
      <c r="H11" s="9"/>
      <c r="I11" s="9"/>
      <c r="J11" s="9"/>
      <c r="K11" s="59">
        <f t="shared" si="1"/>
        <v>0</v>
      </c>
      <c r="L11" s="9"/>
      <c r="M11" s="9"/>
      <c r="N11" s="9"/>
      <c r="O11" s="9"/>
      <c r="P11" s="59">
        <f t="shared" si="2"/>
        <v>0</v>
      </c>
      <c r="Q11" s="9"/>
      <c r="R11" s="9"/>
      <c r="S11" s="9"/>
      <c r="T11" s="9"/>
      <c r="U11" s="59">
        <f t="shared" si="3"/>
        <v>0</v>
      </c>
      <c r="V11" s="37"/>
      <c r="W11" s="37"/>
      <c r="X11" s="37"/>
      <c r="Y11" s="37">
        <v>-212</v>
      </c>
      <c r="Z11" s="71">
        <v>-973</v>
      </c>
      <c r="AA11" s="37">
        <v>-879</v>
      </c>
      <c r="AB11" s="37">
        <v>-528</v>
      </c>
      <c r="AC11" s="37">
        <v>-575</v>
      </c>
      <c r="AD11" s="37">
        <v>-569</v>
      </c>
      <c r="AE11" s="59">
        <f t="shared" si="4"/>
        <v>-2551</v>
      </c>
      <c r="AF11" s="37">
        <v>-607</v>
      </c>
      <c r="AG11" s="37">
        <v>-676</v>
      </c>
      <c r="AH11" s="37">
        <v>-655</v>
      </c>
      <c r="AI11" s="37">
        <v>-691</v>
      </c>
      <c r="AJ11" s="59">
        <f t="shared" si="5"/>
        <v>-2629</v>
      </c>
      <c r="AK11" s="37">
        <v>-817</v>
      </c>
      <c r="AL11" s="37">
        <v>-959</v>
      </c>
      <c r="AM11" s="37">
        <v>-996</v>
      </c>
      <c r="AN11" s="37">
        <v>-1012</v>
      </c>
      <c r="AO11" s="59">
        <f t="shared" si="6"/>
        <v>-3784</v>
      </c>
      <c r="AP11" s="37">
        <v>-273</v>
      </c>
      <c r="AQ11" s="37">
        <v>-1250</v>
      </c>
      <c r="AR11" s="37">
        <v>-1265</v>
      </c>
      <c r="AS11" s="37">
        <v>-1305</v>
      </c>
      <c r="AT11" s="59">
        <f t="shared" si="7"/>
        <v>-4093</v>
      </c>
      <c r="AU11" s="37">
        <v>-1343</v>
      </c>
      <c r="AV11" s="37">
        <v>-1565</v>
      </c>
      <c r="AW11" s="37">
        <v>-1542</v>
      </c>
      <c r="AX11" s="37">
        <v>-1691</v>
      </c>
      <c r="AY11" s="59">
        <f t="shared" si="32"/>
        <v>-6141</v>
      </c>
      <c r="AZ11" s="37">
        <v>-1584</v>
      </c>
      <c r="BA11" s="37">
        <v>-1765</v>
      </c>
      <c r="BB11" s="37">
        <v>-1817</v>
      </c>
      <c r="BC11" s="37">
        <v>-1805</v>
      </c>
      <c r="BD11" s="59">
        <f t="shared" si="35"/>
        <v>-6971</v>
      </c>
      <c r="BE11" s="37">
        <v>-1720</v>
      </c>
      <c r="BF11" s="37">
        <v>-1853</v>
      </c>
      <c r="BG11" s="37">
        <v>-1900</v>
      </c>
      <c r="BH11" s="37">
        <v>-1894</v>
      </c>
      <c r="BI11" s="59">
        <f t="shared" si="37"/>
        <v>-7367</v>
      </c>
      <c r="BJ11" s="37">
        <v>-1431</v>
      </c>
      <c r="BK11" s="37">
        <v>-1810.0544093835763</v>
      </c>
      <c r="BL11" s="37">
        <v>-1813</v>
      </c>
      <c r="BM11" s="37">
        <v>-1578</v>
      </c>
      <c r="BN11" s="59">
        <f t="shared" si="40"/>
        <v>-6632.0544093835761</v>
      </c>
      <c r="BO11" s="37">
        <v>-1916</v>
      </c>
      <c r="BP11" s="37">
        <v>-2131</v>
      </c>
      <c r="BQ11" s="37">
        <v>-2074</v>
      </c>
      <c r="BR11" s="37">
        <v>-2007</v>
      </c>
      <c r="BS11" s="59">
        <f t="shared" si="42"/>
        <v>-8128</v>
      </c>
      <c r="BT11" s="37">
        <v>-1936</v>
      </c>
      <c r="BU11" s="37">
        <v>-2123</v>
      </c>
      <c r="BV11" s="37">
        <v>-1527</v>
      </c>
      <c r="BW11" s="37">
        <v>-1912</v>
      </c>
      <c r="BX11" s="59">
        <f t="shared" si="44"/>
        <v>-7498</v>
      </c>
      <c r="BY11" s="37">
        <v>-1878</v>
      </c>
      <c r="BZ11" s="37">
        <v>-2114</v>
      </c>
      <c r="CA11" s="37">
        <v>-2110</v>
      </c>
      <c r="CB11" s="37">
        <v>-1969</v>
      </c>
      <c r="CC11" s="59">
        <f t="shared" si="47"/>
        <v>-8071</v>
      </c>
      <c r="CD11" s="37">
        <v>-2134</v>
      </c>
      <c r="CE11" s="37">
        <v>-2251</v>
      </c>
      <c r="CF11" s="37">
        <v>-1894</v>
      </c>
      <c r="CG11" s="37">
        <v>-1982</v>
      </c>
      <c r="CH11" s="59">
        <f t="shared" si="50"/>
        <v>-8261</v>
      </c>
      <c r="CI11" s="37">
        <v>-2096</v>
      </c>
      <c r="CJ11" s="37">
        <v>-2148</v>
      </c>
      <c r="CK11" s="37">
        <v>-1772</v>
      </c>
      <c r="CL11" s="37">
        <v>-2644</v>
      </c>
      <c r="CM11" s="59">
        <f t="shared" si="51"/>
        <v>-8660</v>
      </c>
      <c r="CN11" s="37">
        <v>-2140</v>
      </c>
      <c r="CO11" s="37">
        <v>-1847</v>
      </c>
      <c r="CP11" s="37"/>
      <c r="CQ11" s="37"/>
      <c r="CR11" s="59">
        <f t="shared" si="52"/>
        <v>-3987</v>
      </c>
    </row>
    <row r="12" spans="1:96" s="2" customFormat="1" ht="11" thickBot="1" x14ac:dyDescent="0.3">
      <c r="A12" s="21" t="s">
        <v>231</v>
      </c>
      <c r="B12" s="14">
        <f t="shared" ref="B12:C12" si="53">SUM(B10:B11)</f>
        <v>0</v>
      </c>
      <c r="C12" s="14">
        <f t="shared" si="53"/>
        <v>126</v>
      </c>
      <c r="D12" s="14">
        <f>SUM(D10:D11)</f>
        <v>191</v>
      </c>
      <c r="E12" s="14">
        <f t="shared" ref="E12" si="54">SUM(E10:E11)</f>
        <v>216</v>
      </c>
      <c r="F12" s="62">
        <f>SUM(B12:E12)</f>
        <v>533</v>
      </c>
      <c r="G12" s="14">
        <f t="shared" ref="G12:H12" si="55">SUM(G10:G11)</f>
        <v>219</v>
      </c>
      <c r="H12" s="14">
        <f t="shared" si="55"/>
        <v>290</v>
      </c>
      <c r="I12" s="14">
        <f>SUM(I10:I11)</f>
        <v>396</v>
      </c>
      <c r="J12" s="14">
        <f t="shared" ref="J12" si="56">SUM(J10:J11)</f>
        <v>419</v>
      </c>
      <c r="K12" s="62">
        <f>SUM(G12:J12)</f>
        <v>1324</v>
      </c>
      <c r="L12" s="14">
        <f t="shared" ref="L12:M12" si="57">SUM(L10:L11)</f>
        <v>387</v>
      </c>
      <c r="M12" s="14">
        <f t="shared" si="57"/>
        <v>617</v>
      </c>
      <c r="N12" s="14">
        <f>SUM(N10:N11)</f>
        <v>495</v>
      </c>
      <c r="O12" s="14">
        <f t="shared" ref="O12" si="58">SUM(O10:O11)</f>
        <v>575</v>
      </c>
      <c r="P12" s="62">
        <f>SUM(L12:O12)</f>
        <v>2074</v>
      </c>
      <c r="Q12" s="14">
        <f t="shared" ref="Q12:R12" si="59">SUM(Q10:Q11)</f>
        <v>635</v>
      </c>
      <c r="R12" s="14">
        <f t="shared" si="59"/>
        <v>570</v>
      </c>
      <c r="S12" s="14">
        <f>SUM(S10:S11)</f>
        <v>787</v>
      </c>
      <c r="T12" s="14">
        <f t="shared" ref="T12" si="60">SUM(T10:T11)</f>
        <v>775</v>
      </c>
      <c r="U12" s="62">
        <f>SUM(Q12:T12)</f>
        <v>2767</v>
      </c>
      <c r="V12" s="14"/>
      <c r="W12" s="14"/>
      <c r="X12" s="14"/>
      <c r="Y12" s="14">
        <f t="shared" ref="Y12" si="61">SUM(Y10:Y11)</f>
        <v>506</v>
      </c>
      <c r="Z12" s="62">
        <f>SUM(Z10:Z11)</f>
        <v>2223</v>
      </c>
      <c r="AA12" s="14">
        <f t="shared" ref="AA12:AB12" si="62">SUM(AA10:AA11)</f>
        <v>1728</v>
      </c>
      <c r="AB12" s="14">
        <f t="shared" si="62"/>
        <v>1166</v>
      </c>
      <c r="AC12" s="14">
        <f>SUM(AC10:AC11)</f>
        <v>1304</v>
      </c>
      <c r="AD12" s="14">
        <f t="shared" ref="AD12" si="63">SUM(AD10:AD11)</f>
        <v>1299</v>
      </c>
      <c r="AE12" s="62">
        <f>SUM(AA12:AD12)</f>
        <v>5497</v>
      </c>
      <c r="AF12" s="14">
        <f t="shared" ref="AF12:AG12" si="64">SUM(AF10:AF11)</f>
        <v>1391</v>
      </c>
      <c r="AG12" s="14">
        <f t="shared" si="64"/>
        <v>1525</v>
      </c>
      <c r="AH12" s="14">
        <f>SUM(AH10:AH11)</f>
        <v>1504</v>
      </c>
      <c r="AI12" s="14">
        <f t="shared" ref="AI12" si="65">SUM(AI10:AI11)</f>
        <v>1516</v>
      </c>
      <c r="AJ12" s="62">
        <f>SUM(AF12:AI12)</f>
        <v>5936</v>
      </c>
      <c r="AK12" s="14">
        <f t="shared" ref="AK12" si="66">SUM(AK10:AK11)</f>
        <v>1715</v>
      </c>
      <c r="AL12" s="14">
        <f t="shared" ref="AL12" si="67">SUM(AL10:AL11)</f>
        <v>1981</v>
      </c>
      <c r="AM12" s="14">
        <f>SUM(AM10:AM11)</f>
        <v>2135</v>
      </c>
      <c r="AN12" s="14">
        <f t="shared" ref="AN12" si="68">SUM(AN10:AN11)</f>
        <v>2104</v>
      </c>
      <c r="AO12" s="62">
        <f>SUM(AK12:AN12)</f>
        <v>7935</v>
      </c>
      <c r="AP12" s="14">
        <f t="shared" ref="AP12" si="69">SUM(AP10:AP11)</f>
        <v>2994</v>
      </c>
      <c r="AQ12" s="14">
        <f t="shared" ref="AQ12" si="70">SUM(AQ10:AQ11)</f>
        <v>2655</v>
      </c>
      <c r="AR12" s="14">
        <f>SUM(AR10:AR11)</f>
        <v>2630</v>
      </c>
      <c r="AS12" s="14">
        <f t="shared" ref="AS12" si="71">SUM(AS10:AS11)</f>
        <v>2800</v>
      </c>
      <c r="AT12" s="62">
        <f>SUM(AP12:AS12)</f>
        <v>11079</v>
      </c>
      <c r="AU12" s="14">
        <f t="shared" ref="AU12" si="72">SUM(AU10:AU11)</f>
        <v>2784</v>
      </c>
      <c r="AV12" s="14">
        <f t="shared" ref="AV12:AX12" si="73">SUM(AV10:AV11)</f>
        <v>3170</v>
      </c>
      <c r="AW12" s="14">
        <f>SUM(AW10:AW11)</f>
        <v>3471</v>
      </c>
      <c r="AX12" s="14">
        <f t="shared" si="73"/>
        <v>3423</v>
      </c>
      <c r="AY12" s="62">
        <f>SUM(AU12:AX12)</f>
        <v>12848</v>
      </c>
      <c r="AZ12" s="14">
        <f t="shared" ref="AZ12:BA12" si="74">SUM(AZ10:AZ11)</f>
        <v>3375</v>
      </c>
      <c r="BA12" s="14">
        <f t="shared" si="74"/>
        <v>3712</v>
      </c>
      <c r="BB12" s="14">
        <f>SUM(BB10:BB11)</f>
        <v>3846</v>
      </c>
      <c r="BC12" s="14">
        <f t="shared" ref="BC12" si="75">SUM(BC10:BC11)</f>
        <v>3830</v>
      </c>
      <c r="BD12" s="62">
        <f>SUM(AZ12:BC12)</f>
        <v>14763</v>
      </c>
      <c r="BE12" s="14">
        <f t="shared" ref="BE12:BH12" si="76">SUM(BE10:BE11)</f>
        <v>3631</v>
      </c>
      <c r="BF12" s="14">
        <f t="shared" si="76"/>
        <v>3855</v>
      </c>
      <c r="BG12" s="14">
        <f t="shared" si="76"/>
        <v>4030</v>
      </c>
      <c r="BH12" s="14">
        <f t="shared" si="76"/>
        <v>4138</v>
      </c>
      <c r="BI12" s="62">
        <f>SUM(BE12:BH12)</f>
        <v>15654</v>
      </c>
      <c r="BJ12" s="14">
        <f t="shared" ref="BJ12:BL12" si="77">SUM(BJ10:BJ11)</f>
        <v>4984</v>
      </c>
      <c r="BK12" s="14">
        <f t="shared" si="77"/>
        <v>5498.9455906164239</v>
      </c>
      <c r="BL12" s="14">
        <f t="shared" si="77"/>
        <v>5906</v>
      </c>
      <c r="BM12" s="14">
        <f t="shared" ref="BM12:BO12" si="78">SUM(BM10:BM11)</f>
        <v>5006</v>
      </c>
      <c r="BN12" s="62">
        <f>SUM(BJ12:BM12)</f>
        <v>21394.945590616422</v>
      </c>
      <c r="BO12" s="14">
        <f t="shared" si="78"/>
        <v>6222</v>
      </c>
      <c r="BP12" s="14">
        <f t="shared" ref="BP12:BR12" si="79">SUM(BP10:BP11)</f>
        <v>6941</v>
      </c>
      <c r="BQ12" s="14">
        <f t="shared" si="79"/>
        <v>6480</v>
      </c>
      <c r="BR12" s="14">
        <f t="shared" si="79"/>
        <v>5807</v>
      </c>
      <c r="BS12" s="62">
        <f>SUM(BO12:BR12)</f>
        <v>25450</v>
      </c>
      <c r="BT12" s="14">
        <f t="shared" ref="BT12:BW12" si="80">SUM(BT10:BT11)</f>
        <v>6503</v>
      </c>
      <c r="BU12" s="14">
        <f t="shared" si="80"/>
        <v>7139</v>
      </c>
      <c r="BV12" s="14">
        <f t="shared" si="80"/>
        <v>7252</v>
      </c>
      <c r="BW12" s="14">
        <f t="shared" si="80"/>
        <v>7266</v>
      </c>
      <c r="BX12" s="62">
        <f>SUM(BT12:BW12)</f>
        <v>28160</v>
      </c>
      <c r="BY12" s="14">
        <f t="shared" ref="BY12:CB12" si="81">SUM(BY10:BY11)</f>
        <v>6975</v>
      </c>
      <c r="BZ12" s="14">
        <f t="shared" si="81"/>
        <v>7797</v>
      </c>
      <c r="CA12" s="14">
        <f t="shared" ref="CA12" si="82">SUM(CA10:CA11)</f>
        <v>7721</v>
      </c>
      <c r="CB12" s="14">
        <f t="shared" si="81"/>
        <v>7417</v>
      </c>
      <c r="CC12" s="62">
        <f>SUM(BY12:CB12)</f>
        <v>29910</v>
      </c>
      <c r="CD12" s="14">
        <f t="shared" ref="CD12" si="83">SUM(CD10:CD11)</f>
        <v>7824</v>
      </c>
      <c r="CE12" s="14">
        <f>SUM(CE10:CE11)</f>
        <v>8215</v>
      </c>
      <c r="CF12" s="14">
        <f>SUM(CF10:CF11)</f>
        <v>6884</v>
      </c>
      <c r="CG12" s="14">
        <f>SUM(CG10:CG11)</f>
        <v>7151</v>
      </c>
      <c r="CH12" s="62">
        <f>SUM(CD12:CG12)</f>
        <v>30074</v>
      </c>
      <c r="CI12" s="14">
        <f>SUM(CI10:CI11)</f>
        <v>7515</v>
      </c>
      <c r="CJ12" s="14">
        <f>SUM(CJ10:CJ11)</f>
        <v>7559</v>
      </c>
      <c r="CK12" s="14">
        <f>SUM(CK10:CK11)</f>
        <v>6372</v>
      </c>
      <c r="CL12" s="14">
        <f>SUM(CL10:CL11)</f>
        <v>9498</v>
      </c>
      <c r="CM12" s="62">
        <f>SUM(CI12:CL12)</f>
        <v>30944</v>
      </c>
      <c r="CN12" s="14">
        <f>SUM(CN10:CN11)</f>
        <v>7592</v>
      </c>
      <c r="CO12" s="14">
        <f>SUM(CO10:CO11)</f>
        <v>6723</v>
      </c>
      <c r="CP12" s="14"/>
      <c r="CQ12" s="14"/>
      <c r="CR12" s="62">
        <f>SUM(CN12:CQ12)</f>
        <v>14315</v>
      </c>
    </row>
    <row r="13" spans="1:96" s="2" customFormat="1" ht="11.15" customHeight="1" thickTop="1" x14ac:dyDescent="0.25">
      <c r="A13" s="21"/>
      <c r="B13" s="34"/>
      <c r="C13" s="34"/>
      <c r="D13" s="34"/>
      <c r="E13" s="34"/>
      <c r="F13" s="58"/>
      <c r="G13" s="34"/>
      <c r="H13" s="34"/>
      <c r="I13" s="34"/>
      <c r="J13" s="34"/>
      <c r="K13" s="58"/>
      <c r="L13" s="34"/>
      <c r="M13" s="34"/>
      <c r="N13" s="34"/>
      <c r="O13" s="34"/>
      <c r="P13" s="58"/>
      <c r="Q13" s="34"/>
      <c r="R13" s="34"/>
      <c r="S13" s="34"/>
      <c r="T13" s="34"/>
      <c r="U13" s="58"/>
      <c r="V13" s="34"/>
      <c r="W13" s="34"/>
      <c r="X13" s="34"/>
      <c r="Y13" s="34"/>
      <c r="Z13" s="58"/>
      <c r="AA13" s="34"/>
      <c r="AB13" s="34"/>
      <c r="AC13" s="34"/>
      <c r="AD13" s="34"/>
      <c r="AE13" s="58"/>
      <c r="AF13" s="34"/>
      <c r="AG13" s="34"/>
      <c r="AH13" s="34"/>
      <c r="AI13" s="34"/>
      <c r="AJ13" s="58"/>
      <c r="AK13" s="34"/>
      <c r="AL13" s="34"/>
      <c r="AM13" s="34"/>
      <c r="AN13" s="34"/>
      <c r="AO13" s="58"/>
      <c r="AP13" s="34"/>
      <c r="AQ13" s="34"/>
      <c r="AR13" s="34"/>
      <c r="AS13" s="34"/>
      <c r="AT13" s="58"/>
      <c r="AU13" s="34"/>
      <c r="AV13" s="34"/>
      <c r="AW13" s="34"/>
      <c r="AX13" s="34"/>
      <c r="AY13" s="58"/>
      <c r="AZ13" s="34"/>
      <c r="BA13" s="34"/>
      <c r="BB13" s="34"/>
      <c r="BC13" s="34"/>
      <c r="BD13" s="58"/>
      <c r="BE13" s="34"/>
      <c r="BF13" s="34"/>
      <c r="BG13" s="34"/>
      <c r="BH13" s="34"/>
      <c r="BI13" s="58"/>
      <c r="BJ13" s="34"/>
      <c r="BK13" s="34"/>
      <c r="BL13" s="34"/>
      <c r="BM13" s="34"/>
      <c r="BN13" s="58"/>
      <c r="BO13" s="34"/>
      <c r="BP13" s="34"/>
      <c r="BQ13" s="34"/>
      <c r="BR13" s="34"/>
      <c r="BS13" s="58"/>
      <c r="BT13" s="34"/>
      <c r="BU13" s="34"/>
      <c r="BV13" s="34"/>
      <c r="BW13" s="34"/>
      <c r="BX13" s="58"/>
      <c r="BY13" s="34"/>
      <c r="BZ13" s="34"/>
      <c r="CA13" s="34"/>
      <c r="CB13" s="34"/>
      <c r="CC13" s="58"/>
      <c r="CD13" s="34"/>
      <c r="CE13" s="34"/>
      <c r="CF13" s="34"/>
      <c r="CG13" s="34"/>
      <c r="CH13" s="58"/>
      <c r="CI13" s="34"/>
      <c r="CJ13" s="34"/>
      <c r="CK13" s="34"/>
      <c r="CL13" s="34"/>
      <c r="CM13" s="58"/>
      <c r="CN13" s="34"/>
      <c r="CO13" s="34"/>
      <c r="CP13" s="34"/>
      <c r="CQ13" s="34"/>
      <c r="CR13" s="58"/>
    </row>
    <row r="14" spans="1:96" s="2" customFormat="1" ht="11.15" customHeight="1" x14ac:dyDescent="0.25">
      <c r="A14" s="7" t="s">
        <v>224</v>
      </c>
      <c r="B14" s="34"/>
      <c r="C14" s="34"/>
      <c r="D14" s="34"/>
      <c r="E14" s="34"/>
      <c r="F14" s="58"/>
      <c r="G14" s="34"/>
      <c r="H14" s="34"/>
      <c r="I14" s="34"/>
      <c r="J14" s="34"/>
      <c r="K14" s="58"/>
      <c r="L14" s="34"/>
      <c r="M14" s="34"/>
      <c r="N14" s="34"/>
      <c r="O14" s="34"/>
      <c r="P14" s="58"/>
      <c r="Q14" s="34"/>
      <c r="R14" s="34"/>
      <c r="S14" s="34"/>
      <c r="T14" s="34"/>
      <c r="U14" s="58"/>
      <c r="V14" s="34"/>
      <c r="W14" s="34"/>
      <c r="X14" s="34"/>
      <c r="Y14" s="34"/>
      <c r="Z14" s="58"/>
      <c r="AA14" s="34"/>
      <c r="AB14" s="34"/>
      <c r="AC14" s="34"/>
      <c r="AD14" s="34"/>
      <c r="AE14" s="58"/>
      <c r="AF14" s="34"/>
      <c r="AG14" s="34"/>
      <c r="AH14" s="34"/>
      <c r="AI14" s="34"/>
      <c r="AJ14" s="58"/>
      <c r="AK14" s="34"/>
      <c r="AL14" s="34"/>
      <c r="AM14" s="34"/>
      <c r="AN14" s="34"/>
      <c r="AO14" s="58"/>
      <c r="AP14" s="34"/>
      <c r="AQ14" s="34"/>
      <c r="AR14" s="34"/>
      <c r="AS14" s="34"/>
      <c r="AT14" s="58"/>
      <c r="AU14" s="34"/>
      <c r="AV14" s="34"/>
      <c r="AW14" s="34"/>
      <c r="AX14" s="34"/>
      <c r="AY14" s="58"/>
      <c r="AZ14" s="40">
        <v>0</v>
      </c>
      <c r="BA14" s="40">
        <v>0</v>
      </c>
      <c r="BB14" s="40">
        <v>0</v>
      </c>
      <c r="BC14" s="40">
        <v>0</v>
      </c>
      <c r="BD14" s="58">
        <f>SUM(AZ14:BC14)</f>
        <v>0</v>
      </c>
      <c r="BE14" s="40">
        <v>4130</v>
      </c>
      <c r="BF14" s="40">
        <v>3394</v>
      </c>
      <c r="BG14" s="38">
        <v>3361</v>
      </c>
      <c r="BH14" s="40">
        <v>3700</v>
      </c>
      <c r="BI14" s="58">
        <f>SUM(BE14:BH14)</f>
        <v>14585</v>
      </c>
      <c r="BJ14" s="40">
        <v>8232</v>
      </c>
      <c r="BK14" s="40">
        <v>3835.2668459318193</v>
      </c>
      <c r="BL14" s="38">
        <v>1713</v>
      </c>
      <c r="BM14" s="40">
        <v>146.00000000000045</v>
      </c>
      <c r="BN14" s="58">
        <f>SUM(BJ14:BM14)</f>
        <v>13926.266845931819</v>
      </c>
      <c r="BO14" s="40">
        <v>2910</v>
      </c>
      <c r="BP14" s="40">
        <v>1319</v>
      </c>
      <c r="BQ14" s="40">
        <v>240</v>
      </c>
      <c r="BR14" s="40">
        <v>645</v>
      </c>
      <c r="BS14" s="58">
        <f>SUM(BO14:BR14)</f>
        <v>5114</v>
      </c>
      <c r="BT14" s="40">
        <v>2918</v>
      </c>
      <c r="BU14" s="40">
        <v>1776</v>
      </c>
      <c r="BV14" s="40">
        <v>1896</v>
      </c>
      <c r="BW14" s="40">
        <v>3074</v>
      </c>
      <c r="BX14" s="58">
        <f>SUM(BT14:BW14)</f>
        <v>9664</v>
      </c>
      <c r="BY14" s="40">
        <v>5596</v>
      </c>
      <c r="BZ14" s="40">
        <v>501</v>
      </c>
      <c r="CA14" s="40">
        <v>103</v>
      </c>
      <c r="CB14" s="40">
        <v>441</v>
      </c>
      <c r="CC14" s="58">
        <f>SUM(BY14:CB14)</f>
        <v>6641</v>
      </c>
      <c r="CD14" s="40">
        <v>-1713</v>
      </c>
      <c r="CE14" s="40">
        <v>-427</v>
      </c>
      <c r="CF14" s="40">
        <v>-114</v>
      </c>
      <c r="CG14" s="40">
        <v>-478</v>
      </c>
      <c r="CH14" s="58">
        <f>SUM(CD14:CG14)</f>
        <v>-2732</v>
      </c>
      <c r="CI14" s="40">
        <v>-1708</v>
      </c>
      <c r="CJ14" s="40">
        <v>22</v>
      </c>
      <c r="CK14" s="40">
        <v>-55</v>
      </c>
      <c r="CL14" s="40">
        <v>-94</v>
      </c>
      <c r="CM14" s="58">
        <f>SUM(CI14:CL14)</f>
        <v>-1835</v>
      </c>
      <c r="CN14" s="40">
        <v>-3649</v>
      </c>
      <c r="CO14" s="40">
        <v>-244</v>
      </c>
      <c r="CP14" s="40"/>
      <c r="CQ14" s="40"/>
      <c r="CR14" s="58">
        <f>SUM(CN14:CQ14)</f>
        <v>-3893</v>
      </c>
    </row>
    <row r="15" spans="1:96" s="2" customFormat="1" ht="11.15" hidden="1" customHeight="1" x14ac:dyDescent="0.25">
      <c r="A15" s="7" t="s">
        <v>129</v>
      </c>
      <c r="B15" s="34"/>
      <c r="C15" s="34"/>
      <c r="D15" s="34"/>
      <c r="E15" s="34"/>
      <c r="F15" s="58"/>
      <c r="G15" s="34"/>
      <c r="H15" s="34"/>
      <c r="I15" s="34"/>
      <c r="J15" s="34"/>
      <c r="K15" s="58"/>
      <c r="L15" s="34"/>
      <c r="M15" s="34"/>
      <c r="N15" s="34"/>
      <c r="O15" s="34"/>
      <c r="P15" s="58"/>
      <c r="Q15" s="34"/>
      <c r="R15" s="34"/>
      <c r="S15" s="34"/>
      <c r="T15" s="34"/>
      <c r="U15" s="58"/>
      <c r="V15" s="34"/>
      <c r="W15" s="34"/>
      <c r="X15" s="34"/>
      <c r="Y15" s="34"/>
      <c r="Z15" s="58"/>
      <c r="AA15" s="34"/>
      <c r="AB15" s="34"/>
      <c r="AC15" s="34"/>
      <c r="AD15" s="34"/>
      <c r="AE15" s="58"/>
      <c r="AF15" s="34"/>
      <c r="AG15" s="34"/>
      <c r="AH15" s="34"/>
      <c r="AI15" s="34"/>
      <c r="AJ15" s="58"/>
      <c r="AK15" s="34"/>
      <c r="AL15" s="34"/>
      <c r="AM15" s="34"/>
      <c r="AN15" s="34"/>
      <c r="AO15" s="58"/>
      <c r="AP15" s="34"/>
      <c r="AQ15" s="34"/>
      <c r="AR15" s="34"/>
      <c r="AS15" s="34"/>
      <c r="AT15" s="58"/>
      <c r="AU15" s="34"/>
      <c r="AV15" s="34"/>
      <c r="AW15" s="34"/>
      <c r="AX15" s="34"/>
      <c r="AY15" s="58"/>
      <c r="AZ15" s="36">
        <v>0</v>
      </c>
      <c r="BA15" s="36">
        <v>0</v>
      </c>
      <c r="BB15" s="36">
        <v>0</v>
      </c>
      <c r="BC15" s="36">
        <v>0</v>
      </c>
      <c r="BD15" s="65">
        <v>0</v>
      </c>
      <c r="BE15" s="36">
        <v>184161</v>
      </c>
      <c r="BF15" s="36">
        <v>238917</v>
      </c>
      <c r="BG15" s="36">
        <v>317835</v>
      </c>
      <c r="BH15" s="36">
        <v>407316</v>
      </c>
      <c r="BI15" s="65">
        <v>255812</v>
      </c>
      <c r="BJ15" s="36">
        <v>311285</v>
      </c>
      <c r="BK15" s="36">
        <v>274293.34809099976</v>
      </c>
      <c r="BL15" s="36">
        <v>203885.86272199999</v>
      </c>
      <c r="BM15" s="36">
        <v>109095.30913599988</v>
      </c>
      <c r="BN15" s="65">
        <v>234955.21056300018</v>
      </c>
      <c r="BO15" s="36">
        <v>0</v>
      </c>
      <c r="BP15" s="36">
        <v>0</v>
      </c>
      <c r="BQ15" s="36">
        <v>0</v>
      </c>
      <c r="BR15" s="36">
        <v>0</v>
      </c>
      <c r="BS15" s="65">
        <v>0</v>
      </c>
      <c r="BT15" s="36">
        <v>0</v>
      </c>
      <c r="BU15" s="36">
        <v>0</v>
      </c>
      <c r="BV15" s="36">
        <v>0</v>
      </c>
      <c r="BW15" s="36">
        <v>0</v>
      </c>
      <c r="BX15" s="65">
        <v>0</v>
      </c>
      <c r="BY15" s="36">
        <v>0</v>
      </c>
      <c r="BZ15" s="36">
        <v>0</v>
      </c>
      <c r="CA15" s="36">
        <v>0</v>
      </c>
      <c r="CB15" s="36"/>
      <c r="CC15" s="65">
        <v>0</v>
      </c>
      <c r="CD15" s="36">
        <v>0</v>
      </c>
      <c r="CE15" s="36"/>
      <c r="CF15" s="36"/>
      <c r="CG15" s="36"/>
      <c r="CH15" s="65">
        <v>0</v>
      </c>
      <c r="CI15" s="36"/>
      <c r="CJ15" s="36"/>
      <c r="CK15" s="36"/>
      <c r="CM15" s="65">
        <v>0</v>
      </c>
      <c r="CN15" s="36"/>
      <c r="CO15" s="36"/>
      <c r="CP15" s="36"/>
      <c r="CR15" s="65">
        <v>0</v>
      </c>
    </row>
    <row r="16" spans="1:96" s="2" customFormat="1" ht="11.15" customHeight="1" x14ac:dyDescent="0.25">
      <c r="A16" s="21"/>
      <c r="B16" s="34"/>
      <c r="C16" s="34"/>
      <c r="D16" s="34"/>
      <c r="E16" s="34"/>
      <c r="F16" s="58"/>
      <c r="G16" s="34"/>
      <c r="H16" s="34"/>
      <c r="I16" s="34"/>
      <c r="J16" s="34"/>
      <c r="K16" s="58"/>
      <c r="L16" s="34"/>
      <c r="M16" s="34"/>
      <c r="N16" s="34"/>
      <c r="O16" s="34"/>
      <c r="P16" s="58"/>
      <c r="Q16" s="34"/>
      <c r="R16" s="34"/>
      <c r="S16" s="34"/>
      <c r="T16" s="34"/>
      <c r="U16" s="58"/>
      <c r="V16" s="34"/>
      <c r="W16" s="34"/>
      <c r="X16" s="34"/>
      <c r="Y16" s="34"/>
      <c r="Z16" s="58"/>
      <c r="AA16" s="34"/>
      <c r="AB16" s="34"/>
      <c r="AC16" s="34"/>
      <c r="AD16" s="34"/>
      <c r="AE16" s="58"/>
      <c r="AF16" s="34"/>
      <c r="AG16" s="34"/>
      <c r="AH16" s="34"/>
      <c r="AI16" s="34"/>
      <c r="AJ16" s="58"/>
      <c r="AK16" s="34"/>
      <c r="AL16" s="34"/>
      <c r="AM16" s="34"/>
      <c r="AN16" s="34"/>
      <c r="AO16" s="58"/>
      <c r="AP16" s="34"/>
      <c r="AQ16" s="34"/>
      <c r="AR16" s="34"/>
      <c r="AS16" s="34"/>
      <c r="AT16" s="58"/>
      <c r="AU16" s="34"/>
      <c r="AV16" s="34"/>
      <c r="AW16" s="34"/>
      <c r="AX16" s="34"/>
      <c r="AY16" s="58"/>
      <c r="AZ16" s="34"/>
      <c r="BA16" s="34"/>
      <c r="BB16" s="34"/>
      <c r="BC16" s="34"/>
      <c r="BD16" s="58"/>
      <c r="BE16" s="34"/>
      <c r="BF16" s="34"/>
      <c r="BG16" s="34"/>
      <c r="BH16" s="34"/>
      <c r="BI16" s="58"/>
      <c r="BJ16" s="34"/>
      <c r="BK16" s="34"/>
      <c r="BL16" s="34"/>
      <c r="BM16" s="34"/>
      <c r="BN16" s="58"/>
      <c r="BO16" s="34"/>
      <c r="BP16" s="34"/>
      <c r="BQ16" s="34"/>
      <c r="BR16" s="34"/>
      <c r="BS16" s="58"/>
      <c r="BT16" s="34"/>
      <c r="BU16" s="34"/>
      <c r="BV16" s="34"/>
      <c r="BW16" s="34"/>
      <c r="BX16" s="58"/>
      <c r="BY16" s="34"/>
      <c r="BZ16" s="34"/>
      <c r="CA16" s="34"/>
      <c r="CB16" s="34"/>
      <c r="CC16" s="58"/>
      <c r="CD16" s="34"/>
      <c r="CE16" s="34"/>
      <c r="CF16" s="34"/>
      <c r="CG16" s="34"/>
      <c r="CH16" s="58"/>
      <c r="CI16" s="34"/>
      <c r="CJ16" s="34"/>
      <c r="CK16" s="34"/>
      <c r="CM16" s="58"/>
      <c r="CN16" s="34"/>
      <c r="CO16" s="34"/>
      <c r="CP16" s="34"/>
      <c r="CR16" s="58"/>
    </row>
    <row r="17" spans="1:96" s="2" customFormat="1" ht="11.15" customHeight="1" x14ac:dyDescent="0.25">
      <c r="A17" s="21"/>
      <c r="B17" s="34"/>
      <c r="C17" s="34"/>
      <c r="D17" s="34"/>
      <c r="E17" s="34"/>
      <c r="F17" s="58"/>
      <c r="G17" s="34"/>
      <c r="H17" s="34"/>
      <c r="I17" s="34"/>
      <c r="J17" s="34"/>
      <c r="K17" s="58"/>
      <c r="L17" s="34"/>
      <c r="M17" s="34"/>
      <c r="N17" s="34"/>
      <c r="O17" s="34"/>
      <c r="P17" s="58"/>
      <c r="Q17" s="34"/>
      <c r="R17" s="34"/>
      <c r="S17" s="34"/>
      <c r="T17" s="34"/>
      <c r="U17" s="58"/>
      <c r="V17" s="34"/>
      <c r="W17" s="34"/>
      <c r="X17" s="34"/>
      <c r="Y17" s="34"/>
      <c r="Z17" s="58"/>
      <c r="AA17" s="34"/>
      <c r="AB17" s="34"/>
      <c r="AC17" s="34"/>
      <c r="AD17" s="34"/>
      <c r="AE17" s="58"/>
      <c r="AF17" s="34"/>
      <c r="AG17" s="34"/>
      <c r="AH17" s="34"/>
      <c r="AI17" s="34"/>
      <c r="AJ17" s="58"/>
      <c r="AK17" s="34"/>
      <c r="AL17" s="34"/>
      <c r="AM17" s="34"/>
      <c r="AN17" s="34"/>
      <c r="AO17" s="58"/>
      <c r="AP17" s="34"/>
      <c r="AQ17" s="34"/>
      <c r="AR17" s="34"/>
      <c r="AS17" s="34"/>
      <c r="AT17" s="58"/>
      <c r="AU17" s="34"/>
      <c r="AV17" s="34"/>
      <c r="AW17" s="34"/>
      <c r="AX17" s="34"/>
      <c r="AY17" s="58"/>
      <c r="AZ17" s="34"/>
      <c r="BA17" s="34"/>
      <c r="BB17" s="34"/>
      <c r="BC17" s="34"/>
      <c r="BD17" s="58"/>
      <c r="BE17" s="34"/>
      <c r="BF17" s="34"/>
      <c r="BG17" s="34"/>
      <c r="BH17" s="34"/>
      <c r="BI17" s="58"/>
      <c r="BJ17" s="34"/>
      <c r="BK17" s="34"/>
      <c r="BL17" s="34"/>
      <c r="BM17" s="34"/>
      <c r="BN17" s="58"/>
      <c r="BO17" s="34"/>
      <c r="BP17" s="34"/>
      <c r="BQ17" s="34"/>
      <c r="BR17" s="34"/>
      <c r="BS17" s="58"/>
      <c r="BT17" s="34"/>
      <c r="BU17" s="34"/>
      <c r="BV17" s="34"/>
      <c r="BW17" s="34"/>
      <c r="BX17" s="58"/>
      <c r="BY17" s="34"/>
      <c r="BZ17" s="34"/>
      <c r="CA17" s="34"/>
      <c r="CB17" s="34"/>
      <c r="CC17" s="58"/>
      <c r="CD17" s="34"/>
      <c r="CE17" s="34"/>
      <c r="CF17" s="34"/>
      <c r="CG17" s="34"/>
      <c r="CH17" s="58"/>
      <c r="CI17" s="34"/>
      <c r="CJ17" s="34"/>
      <c r="CK17" s="34"/>
      <c r="CM17" s="58"/>
      <c r="CN17" s="34"/>
      <c r="CO17" s="34"/>
      <c r="CP17" s="34"/>
      <c r="CR17" s="58"/>
    </row>
    <row r="18" spans="1:96" ht="11.15" customHeight="1" x14ac:dyDescent="0.2">
      <c r="A18" s="6" t="s">
        <v>239</v>
      </c>
      <c r="B18" s="10"/>
      <c r="C18" s="10"/>
      <c r="D18" s="10"/>
      <c r="E18" s="10"/>
      <c r="F18" s="61"/>
      <c r="G18" s="10"/>
      <c r="H18" s="10"/>
      <c r="I18" s="10"/>
      <c r="J18" s="10"/>
      <c r="K18" s="61"/>
      <c r="L18" s="10"/>
      <c r="M18" s="10"/>
      <c r="N18" s="10"/>
      <c r="O18" s="10"/>
      <c r="P18" s="61"/>
      <c r="Q18" s="10"/>
      <c r="R18" s="10"/>
      <c r="S18" s="10"/>
      <c r="T18" s="10"/>
      <c r="U18" s="61"/>
      <c r="V18" s="10"/>
      <c r="W18" s="10"/>
      <c r="X18" s="10"/>
      <c r="Y18" s="10"/>
      <c r="Z18" s="61"/>
      <c r="AA18" s="10"/>
      <c r="AB18" s="10"/>
      <c r="AC18" s="10"/>
      <c r="AD18" s="10"/>
      <c r="AE18" s="61"/>
      <c r="AF18" s="10"/>
      <c r="AG18" s="10"/>
      <c r="AH18" s="10"/>
      <c r="AI18" s="10"/>
      <c r="AJ18" s="61"/>
      <c r="AK18" s="10"/>
      <c r="AL18" s="10"/>
      <c r="AM18" s="10"/>
      <c r="AN18" s="10"/>
      <c r="AO18" s="61"/>
      <c r="AP18" s="10"/>
      <c r="AQ18" s="10"/>
      <c r="AR18" s="10"/>
      <c r="AS18" s="10"/>
      <c r="AT18" s="61"/>
      <c r="AU18" s="10"/>
      <c r="AV18" s="10"/>
      <c r="AW18" s="10"/>
      <c r="AX18" s="10"/>
      <c r="AY18" s="61"/>
      <c r="AZ18" s="10"/>
      <c r="BA18" s="10"/>
      <c r="BB18" s="10"/>
      <c r="BC18" s="10"/>
      <c r="BD18" s="61"/>
      <c r="BE18" s="10"/>
      <c r="BF18" s="10"/>
      <c r="BG18" s="10"/>
      <c r="BH18" s="10"/>
      <c r="BI18" s="61"/>
      <c r="BJ18" s="10"/>
      <c r="BK18" s="10"/>
      <c r="BL18" s="10"/>
      <c r="BM18" s="10"/>
      <c r="BN18" s="61"/>
      <c r="BO18" s="10"/>
      <c r="BP18" s="10"/>
      <c r="BQ18" s="10"/>
      <c r="BR18" s="10"/>
      <c r="BS18" s="61"/>
      <c r="BT18" s="10"/>
      <c r="BU18" s="10"/>
      <c r="BV18" s="10"/>
      <c r="BW18" s="10"/>
      <c r="BX18" s="61"/>
      <c r="BY18" s="10"/>
      <c r="BZ18" s="10"/>
      <c r="CA18" s="10"/>
      <c r="CB18" s="10"/>
      <c r="CC18" s="61"/>
      <c r="CD18" s="10"/>
      <c r="CE18" s="10"/>
      <c r="CF18" s="10"/>
      <c r="CG18" s="10"/>
      <c r="CH18" s="61"/>
      <c r="CI18" s="10"/>
      <c r="CJ18" s="10"/>
      <c r="CK18" s="10"/>
      <c r="CM18" s="61"/>
      <c r="CN18" s="10"/>
      <c r="CO18" s="10"/>
      <c r="CP18" s="10"/>
      <c r="CR18" s="61"/>
    </row>
    <row r="19" spans="1:96" ht="11.15" customHeight="1" x14ac:dyDescent="0.2">
      <c r="A19" s="7" t="s">
        <v>50</v>
      </c>
      <c r="B19" s="10"/>
      <c r="C19" s="10"/>
      <c r="D19" s="10"/>
      <c r="E19" s="10"/>
      <c r="F19" s="61"/>
      <c r="G19" s="10"/>
      <c r="H19" s="10"/>
      <c r="I19" s="10"/>
      <c r="J19" s="10"/>
      <c r="K19" s="61"/>
      <c r="L19" s="10"/>
      <c r="M19" s="10"/>
      <c r="N19" s="10"/>
      <c r="O19" s="10"/>
      <c r="P19" s="61"/>
      <c r="Q19" s="10"/>
      <c r="R19" s="10"/>
      <c r="S19" s="10"/>
      <c r="T19" s="10"/>
      <c r="U19" s="61"/>
      <c r="V19" s="10"/>
      <c r="W19" s="10"/>
      <c r="X19" s="10"/>
      <c r="Y19" s="10"/>
      <c r="Z19" s="61"/>
      <c r="AA19" s="10"/>
      <c r="AB19" s="10"/>
      <c r="AC19" s="10"/>
      <c r="AD19" s="10"/>
      <c r="AE19" s="61"/>
      <c r="AF19" s="10"/>
      <c r="AG19" s="10"/>
      <c r="AH19" s="10"/>
      <c r="AI19" s="10"/>
      <c r="AJ19" s="61"/>
      <c r="AK19" s="10"/>
      <c r="AL19" s="10"/>
      <c r="AM19" s="10"/>
      <c r="AN19" s="10"/>
      <c r="AO19" s="61"/>
      <c r="AP19" s="10"/>
      <c r="AQ19" s="10"/>
      <c r="AR19" s="10"/>
      <c r="AS19" s="10"/>
      <c r="AT19" s="61"/>
      <c r="AU19" s="10"/>
      <c r="AV19" s="10"/>
      <c r="AW19" s="10"/>
      <c r="AX19" s="10"/>
      <c r="AY19" s="61"/>
      <c r="AZ19" s="10"/>
      <c r="BA19" s="10"/>
      <c r="BB19" s="10"/>
      <c r="BC19" s="10"/>
      <c r="BD19" s="61"/>
      <c r="BE19" s="10"/>
      <c r="BF19" s="10"/>
      <c r="BG19" s="10"/>
      <c r="BH19" s="10"/>
      <c r="BI19" s="61"/>
      <c r="BJ19" s="10"/>
      <c r="BK19" s="10"/>
      <c r="BL19" s="10"/>
      <c r="BM19" s="10"/>
      <c r="BN19" s="61"/>
      <c r="BO19" s="10"/>
      <c r="BP19" s="10"/>
      <c r="BQ19" s="10"/>
      <c r="BR19" s="10"/>
      <c r="BS19" s="61"/>
      <c r="BT19" s="10"/>
      <c r="BU19" s="10"/>
      <c r="BV19" s="10"/>
      <c r="BW19" s="10"/>
      <c r="BX19" s="61"/>
      <c r="BY19" s="10"/>
      <c r="BZ19" s="10"/>
      <c r="CA19" s="10"/>
      <c r="CB19" s="10"/>
      <c r="CC19" s="61"/>
      <c r="CD19" s="10"/>
      <c r="CE19" s="10"/>
      <c r="CF19" s="10"/>
      <c r="CG19" s="10"/>
      <c r="CH19" s="61"/>
      <c r="CI19" s="10"/>
      <c r="CJ19" s="10"/>
      <c r="CK19" s="10"/>
      <c r="CM19" s="61"/>
      <c r="CN19" s="10"/>
      <c r="CO19" s="10"/>
      <c r="CP19" s="10"/>
      <c r="CR19" s="61"/>
    </row>
    <row r="20" spans="1:96" s="2" customFormat="1" ht="11.15" customHeight="1" x14ac:dyDescent="0.25">
      <c r="A20" s="21" t="s">
        <v>45</v>
      </c>
      <c r="B20" s="40">
        <v>0</v>
      </c>
      <c r="C20" s="40">
        <v>0</v>
      </c>
      <c r="D20" s="40">
        <v>0</v>
      </c>
      <c r="E20" s="40">
        <v>0</v>
      </c>
      <c r="F20" s="58">
        <f t="shared" ref="F20" si="84">SUM(B20:E20)</f>
        <v>0</v>
      </c>
      <c r="G20" s="40">
        <v>0</v>
      </c>
      <c r="H20" s="40">
        <v>0</v>
      </c>
      <c r="I20" s="40">
        <v>0</v>
      </c>
      <c r="J20" s="40">
        <v>0</v>
      </c>
      <c r="K20" s="58">
        <f t="shared" ref="K20" si="85">SUM(G20:J20)</f>
        <v>0</v>
      </c>
      <c r="L20" s="40">
        <v>0</v>
      </c>
      <c r="M20" s="40">
        <v>0</v>
      </c>
      <c r="N20" s="40">
        <v>0</v>
      </c>
      <c r="O20" s="40">
        <v>0</v>
      </c>
      <c r="P20" s="58">
        <f t="shared" ref="P20" si="86">SUM(L20:O20)</f>
        <v>0</v>
      </c>
      <c r="Q20" s="40">
        <v>0</v>
      </c>
      <c r="R20" s="40">
        <v>0</v>
      </c>
      <c r="S20" s="40">
        <v>0</v>
      </c>
      <c r="T20" s="40">
        <v>0</v>
      </c>
      <c r="U20" s="58">
        <f t="shared" ref="U20" si="87">SUM(Q20:T20)</f>
        <v>0</v>
      </c>
      <c r="V20" s="40">
        <v>0</v>
      </c>
      <c r="W20" s="40">
        <v>0</v>
      </c>
      <c r="X20" s="40">
        <v>0</v>
      </c>
      <c r="Y20" s="40">
        <v>0</v>
      </c>
      <c r="Z20" s="58">
        <f t="shared" ref="Z20" si="88">SUM(V20:Y20)</f>
        <v>0</v>
      </c>
      <c r="AA20" s="40">
        <v>0</v>
      </c>
      <c r="AB20" s="40">
        <v>0</v>
      </c>
      <c r="AC20" s="40">
        <v>0</v>
      </c>
      <c r="AD20" s="40">
        <v>0</v>
      </c>
      <c r="AE20" s="58">
        <f t="shared" ref="AE20:AE25" si="89">SUM(AA20:AD20)</f>
        <v>0</v>
      </c>
      <c r="AF20" s="40">
        <v>0</v>
      </c>
      <c r="AG20" s="40">
        <v>0</v>
      </c>
      <c r="AH20" s="40">
        <v>0</v>
      </c>
      <c r="AI20" s="40">
        <v>460</v>
      </c>
      <c r="AJ20" s="58">
        <f t="shared" ref="AJ20:AJ25" si="90">SUM(AF20:AI20)</f>
        <v>460</v>
      </c>
      <c r="AK20" s="40">
        <v>406</v>
      </c>
      <c r="AL20" s="40">
        <v>455.9</v>
      </c>
      <c r="AM20" s="40">
        <v>455.9</v>
      </c>
      <c r="AN20" s="40">
        <v>0</v>
      </c>
      <c r="AO20" s="58">
        <f t="shared" ref="AO20:AO24" si="91">SUM(AK20:AN20)</f>
        <v>1317.8</v>
      </c>
      <c r="AP20" s="40">
        <v>0</v>
      </c>
      <c r="AQ20" s="40">
        <v>0</v>
      </c>
      <c r="AR20" s="40">
        <v>0</v>
      </c>
      <c r="AS20" s="40">
        <v>0</v>
      </c>
      <c r="AT20" s="58">
        <f t="shared" ref="AT20:AT24" si="92">SUM(AP20:AS20)</f>
        <v>0</v>
      </c>
      <c r="AU20" s="40">
        <v>0</v>
      </c>
      <c r="AV20" s="40">
        <v>0</v>
      </c>
      <c r="AW20" s="40">
        <v>0</v>
      </c>
      <c r="AX20" s="40">
        <v>0</v>
      </c>
      <c r="AY20" s="58">
        <f t="shared" ref="AY20:AY25" si="93">SUM(AU20:AX20)</f>
        <v>0</v>
      </c>
      <c r="AZ20" s="40">
        <v>0</v>
      </c>
      <c r="BA20" s="40">
        <v>373.9</v>
      </c>
      <c r="BB20" s="40">
        <v>1012</v>
      </c>
      <c r="BC20" s="40">
        <v>714.5</v>
      </c>
      <c r="BD20" s="58">
        <f t="shared" ref="BD20" si="94">SUM(AZ20:BC20)</f>
        <v>2100.4</v>
      </c>
      <c r="BE20" s="40">
        <v>0</v>
      </c>
      <c r="BF20" s="40">
        <v>10</v>
      </c>
      <c r="BG20" s="40">
        <v>1571</v>
      </c>
      <c r="BH20" s="40">
        <v>992</v>
      </c>
      <c r="BI20" s="58">
        <f t="shared" ref="BI20" si="95">SUM(BE20:BH20)</f>
        <v>2573</v>
      </c>
      <c r="BJ20" s="40">
        <v>282</v>
      </c>
      <c r="BK20" s="40">
        <v>224</v>
      </c>
      <c r="BL20" s="40">
        <v>50</v>
      </c>
      <c r="BM20" s="40">
        <v>0</v>
      </c>
      <c r="BN20" s="58">
        <f t="shared" ref="BN20" si="96">SUM(BJ20:BM20)</f>
        <v>556</v>
      </c>
      <c r="BO20" s="40">
        <v>0</v>
      </c>
      <c r="BP20" s="40">
        <v>0</v>
      </c>
      <c r="BQ20" s="40">
        <v>0</v>
      </c>
      <c r="BR20" s="40">
        <v>0</v>
      </c>
      <c r="BS20" s="58">
        <f t="shared" ref="BS20" si="97">SUM(BO20:BR20)</f>
        <v>0</v>
      </c>
      <c r="BT20" s="40">
        <v>0</v>
      </c>
      <c r="BU20" s="40">
        <v>0</v>
      </c>
      <c r="BV20" s="40">
        <v>0</v>
      </c>
      <c r="BW20" s="40">
        <v>0</v>
      </c>
      <c r="BX20" s="58">
        <f t="shared" ref="BX20" si="98">SUM(BT20:BW20)</f>
        <v>0</v>
      </c>
      <c r="BY20" s="40">
        <v>0</v>
      </c>
      <c r="BZ20" s="40">
        <v>0</v>
      </c>
      <c r="CA20" s="40">
        <v>0</v>
      </c>
      <c r="CB20" s="40">
        <v>0</v>
      </c>
      <c r="CC20" s="58">
        <f t="shared" ref="CC20" si="99">SUM(BY20:CB20)</f>
        <v>0</v>
      </c>
      <c r="CD20" s="40">
        <v>0</v>
      </c>
      <c r="CE20" s="40">
        <v>0</v>
      </c>
      <c r="CF20" s="40">
        <v>0</v>
      </c>
      <c r="CG20" s="40">
        <v>0</v>
      </c>
      <c r="CH20" s="58">
        <f t="shared" ref="CH20" si="100">SUM(CD20:CG20)</f>
        <v>0</v>
      </c>
      <c r="CI20" s="40">
        <v>0</v>
      </c>
      <c r="CJ20" s="40">
        <v>0</v>
      </c>
      <c r="CK20" s="40">
        <v>0</v>
      </c>
      <c r="CL20" s="40">
        <v>0</v>
      </c>
      <c r="CM20" s="58">
        <f t="shared" ref="CM20" si="101">SUM(CI20:CL20)</f>
        <v>0</v>
      </c>
      <c r="CN20" s="40">
        <v>0</v>
      </c>
      <c r="CO20" s="40">
        <v>0</v>
      </c>
      <c r="CP20" s="40"/>
      <c r="CQ20" s="40"/>
      <c r="CR20" s="58">
        <f t="shared" ref="CR20" si="102">SUM(CN20:CQ20)</f>
        <v>0</v>
      </c>
    </row>
    <row r="21" spans="1:96" s="2" customFormat="1" ht="11.15" customHeight="1" x14ac:dyDescent="0.25">
      <c r="A21" s="7" t="s">
        <v>51</v>
      </c>
      <c r="B21" s="40"/>
      <c r="C21" s="40"/>
      <c r="D21" s="40"/>
      <c r="E21" s="40"/>
      <c r="F21" s="58"/>
      <c r="G21" s="40"/>
      <c r="H21" s="40"/>
      <c r="I21" s="40"/>
      <c r="J21" s="40"/>
      <c r="K21" s="58"/>
      <c r="L21" s="40"/>
      <c r="M21" s="40"/>
      <c r="N21" s="40"/>
      <c r="O21" s="40"/>
      <c r="P21" s="58"/>
      <c r="Q21" s="40"/>
      <c r="R21" s="40"/>
      <c r="S21" s="40"/>
      <c r="T21" s="40"/>
      <c r="U21" s="58"/>
      <c r="V21" s="40"/>
      <c r="W21" s="40"/>
      <c r="X21" s="40"/>
      <c r="Y21" s="40"/>
      <c r="Z21" s="58"/>
      <c r="AA21" s="40"/>
      <c r="AB21" s="40"/>
      <c r="AC21" s="40"/>
      <c r="AD21" s="40"/>
      <c r="AE21" s="58"/>
      <c r="AF21" s="40"/>
      <c r="AG21" s="40"/>
      <c r="AH21" s="40"/>
      <c r="AI21" s="40"/>
      <c r="AJ21" s="58"/>
      <c r="AK21" s="40"/>
      <c r="AL21" s="40"/>
      <c r="AM21" s="40"/>
      <c r="AN21" s="40"/>
      <c r="AO21" s="58"/>
      <c r="AP21" s="40"/>
      <c r="AQ21" s="40"/>
      <c r="AR21" s="40"/>
      <c r="AS21" s="40"/>
      <c r="AT21" s="58"/>
      <c r="AU21" s="40"/>
      <c r="AV21" s="40"/>
      <c r="AW21" s="40"/>
      <c r="AX21" s="40"/>
      <c r="AY21" s="58"/>
      <c r="AZ21" s="40"/>
      <c r="BA21" s="40"/>
      <c r="BB21" s="40"/>
      <c r="BC21" s="40"/>
      <c r="BD21" s="58"/>
      <c r="BE21" s="40"/>
      <c r="BF21" s="40"/>
      <c r="BG21" s="40"/>
      <c r="BH21" s="40"/>
      <c r="BI21" s="58"/>
      <c r="BJ21" s="40"/>
      <c r="BK21" s="40"/>
      <c r="BL21" s="40"/>
      <c r="BM21" s="40"/>
      <c r="BN21" s="58"/>
      <c r="BO21" s="40"/>
      <c r="BP21" s="40"/>
      <c r="BQ21" s="40"/>
      <c r="BR21" s="40"/>
      <c r="BS21" s="58"/>
      <c r="BT21" s="40"/>
      <c r="BU21" s="40"/>
      <c r="BV21" s="40"/>
      <c r="BW21" s="40"/>
      <c r="BX21" s="58"/>
      <c r="BY21" s="40"/>
      <c r="BZ21" s="40"/>
      <c r="CA21" s="40"/>
      <c r="CB21" s="40"/>
      <c r="CC21" s="58"/>
      <c r="CD21" s="40"/>
      <c r="CE21" s="40"/>
      <c r="CF21" s="40"/>
      <c r="CG21" s="40"/>
      <c r="CH21" s="58"/>
      <c r="CI21" s="40"/>
      <c r="CJ21" s="40"/>
      <c r="CK21" s="40"/>
      <c r="CM21" s="58"/>
      <c r="CN21" s="40"/>
      <c r="CO21" s="40"/>
      <c r="CP21" s="40"/>
      <c r="CR21" s="58"/>
    </row>
    <row r="22" spans="1:96" ht="11.15" customHeight="1" x14ac:dyDescent="0.2">
      <c r="A22" s="21" t="s">
        <v>45</v>
      </c>
      <c r="B22" s="36">
        <v>0</v>
      </c>
      <c r="C22" s="36">
        <v>0</v>
      </c>
      <c r="D22" s="36">
        <v>0</v>
      </c>
      <c r="E22" s="36">
        <v>0</v>
      </c>
      <c r="F22" s="61">
        <f t="shared" ref="F22:F25" si="103">SUM(B22:E22)</f>
        <v>0</v>
      </c>
      <c r="G22" s="36">
        <v>0</v>
      </c>
      <c r="H22" s="36">
        <v>0</v>
      </c>
      <c r="I22" s="36">
        <v>0</v>
      </c>
      <c r="J22" s="36">
        <v>0</v>
      </c>
      <c r="K22" s="61">
        <f t="shared" ref="K22:K25" si="104">SUM(G22:J22)</f>
        <v>0</v>
      </c>
      <c r="L22" s="36">
        <v>0</v>
      </c>
      <c r="M22" s="36">
        <v>0</v>
      </c>
      <c r="N22" s="36">
        <v>0</v>
      </c>
      <c r="O22" s="36">
        <v>0</v>
      </c>
      <c r="P22" s="61">
        <f t="shared" ref="P22:P25" si="105">SUM(L22:O22)</f>
        <v>0</v>
      </c>
      <c r="Q22" s="36">
        <v>0</v>
      </c>
      <c r="R22" s="36">
        <v>0</v>
      </c>
      <c r="S22" s="36">
        <v>0</v>
      </c>
      <c r="T22" s="36">
        <v>0</v>
      </c>
      <c r="U22" s="61">
        <f t="shared" ref="U22:U25" si="106">SUM(Q22:T22)</f>
        <v>0</v>
      </c>
      <c r="V22" s="36">
        <v>0</v>
      </c>
      <c r="W22" s="36">
        <v>0</v>
      </c>
      <c r="X22" s="36">
        <v>0</v>
      </c>
      <c r="Y22" s="36">
        <v>0</v>
      </c>
      <c r="Z22" s="61">
        <f t="shared" ref="Z22:Z25" si="107">SUM(V22:Y22)</f>
        <v>0</v>
      </c>
      <c r="AA22" s="36">
        <v>0</v>
      </c>
      <c r="AB22" s="36">
        <v>0</v>
      </c>
      <c r="AC22" s="36">
        <v>0</v>
      </c>
      <c r="AD22" s="36">
        <v>0</v>
      </c>
      <c r="AE22" s="61">
        <f t="shared" si="89"/>
        <v>0</v>
      </c>
      <c r="AF22" s="36">
        <v>308</v>
      </c>
      <c r="AG22" s="36">
        <v>356</v>
      </c>
      <c r="AH22" s="36">
        <v>360</v>
      </c>
      <c r="AI22" s="36">
        <v>204</v>
      </c>
      <c r="AJ22" s="61">
        <f t="shared" si="90"/>
        <v>1228</v>
      </c>
      <c r="AK22" s="36">
        <v>182</v>
      </c>
      <c r="AL22" s="36">
        <v>180</v>
      </c>
      <c r="AM22" s="36">
        <v>179</v>
      </c>
      <c r="AN22" s="36">
        <v>180</v>
      </c>
      <c r="AO22" s="61">
        <f t="shared" si="91"/>
        <v>721</v>
      </c>
      <c r="AP22" s="36">
        <v>156</v>
      </c>
      <c r="AQ22" s="36">
        <v>156</v>
      </c>
      <c r="AR22" s="36">
        <v>156.5</v>
      </c>
      <c r="AS22" s="36">
        <v>247.5</v>
      </c>
      <c r="AT22" s="61">
        <f t="shared" si="92"/>
        <v>716</v>
      </c>
      <c r="AU22" s="36">
        <v>235</v>
      </c>
      <c r="AV22" s="36">
        <v>410</v>
      </c>
      <c r="AW22" s="36">
        <v>388</v>
      </c>
      <c r="AX22" s="36">
        <v>370</v>
      </c>
      <c r="AY22" s="61">
        <f t="shared" si="93"/>
        <v>1403</v>
      </c>
      <c r="AZ22" s="36">
        <v>344.5</v>
      </c>
      <c r="BA22" s="36">
        <v>702.5</v>
      </c>
      <c r="BB22" s="36">
        <v>1053.0999999999999</v>
      </c>
      <c r="BC22" s="36">
        <v>865.90000000000009</v>
      </c>
      <c r="BD22" s="61">
        <f t="shared" ref="BD22:BD25" si="108">SUM(AZ22:BC22)</f>
        <v>2966</v>
      </c>
      <c r="BE22" s="36">
        <v>745</v>
      </c>
      <c r="BF22" s="36">
        <v>592</v>
      </c>
      <c r="BG22" s="36">
        <v>1002</v>
      </c>
      <c r="BH22" s="36">
        <v>1435</v>
      </c>
      <c r="BI22" s="61">
        <f>SUM(BE22:BH22)</f>
        <v>3774</v>
      </c>
      <c r="BJ22" s="36">
        <v>1169</v>
      </c>
      <c r="BK22" s="36">
        <v>1145</v>
      </c>
      <c r="BL22" s="36">
        <v>1313</v>
      </c>
      <c r="BM22" s="36">
        <v>1213</v>
      </c>
      <c r="BN22" s="61">
        <f>SUM(BJ22:BM22)</f>
        <v>4840</v>
      </c>
      <c r="BO22" s="36">
        <v>1313</v>
      </c>
      <c r="BP22" s="36">
        <v>1291</v>
      </c>
      <c r="BQ22" s="36">
        <v>1290</v>
      </c>
      <c r="BR22" s="36">
        <v>1273</v>
      </c>
      <c r="BS22" s="61">
        <f>SUM(BO22:BR22)</f>
        <v>5167</v>
      </c>
      <c r="BT22" s="36">
        <v>1222</v>
      </c>
      <c r="BU22" s="36">
        <v>1172</v>
      </c>
      <c r="BV22" s="36">
        <v>1168</v>
      </c>
      <c r="BW22" s="36">
        <v>1166</v>
      </c>
      <c r="BX22" s="61">
        <f>SUM(BT22:BW22)</f>
        <v>4728</v>
      </c>
      <c r="BY22" s="36">
        <v>1241</v>
      </c>
      <c r="BZ22" s="36">
        <v>1200</v>
      </c>
      <c r="CA22" s="36">
        <v>1202</v>
      </c>
      <c r="CB22" s="36">
        <v>1200</v>
      </c>
      <c r="CC22" s="61">
        <f>SUM(BY22:CB22)</f>
        <v>4843</v>
      </c>
      <c r="CD22" s="36">
        <v>1173</v>
      </c>
      <c r="CE22" s="36">
        <v>1055</v>
      </c>
      <c r="CF22" s="36">
        <v>796</v>
      </c>
      <c r="CG22" s="36">
        <v>608</v>
      </c>
      <c r="CH22" s="61">
        <f>SUM(CD22:CG22)</f>
        <v>3632</v>
      </c>
      <c r="CI22" s="36">
        <v>564</v>
      </c>
      <c r="CJ22" s="36">
        <v>564</v>
      </c>
      <c r="CK22" s="36">
        <v>564</v>
      </c>
      <c r="CL22" s="101">
        <v>550</v>
      </c>
      <c r="CM22" s="61">
        <f>SUM(CI22:CL22)</f>
        <v>2242</v>
      </c>
      <c r="CN22" s="36">
        <v>488</v>
      </c>
      <c r="CO22" s="36">
        <v>440</v>
      </c>
      <c r="CP22" s="36"/>
      <c r="CQ22" s="101"/>
      <c r="CR22" s="61">
        <f>SUM(CN22:CQ22)</f>
        <v>928</v>
      </c>
    </row>
    <row r="23" spans="1:96" ht="11.15" customHeight="1" x14ac:dyDescent="0.2">
      <c r="A23" s="21" t="s">
        <v>1</v>
      </c>
      <c r="B23" s="36">
        <v>0</v>
      </c>
      <c r="C23" s="36">
        <v>0</v>
      </c>
      <c r="D23" s="36">
        <v>0</v>
      </c>
      <c r="E23" s="36">
        <v>0</v>
      </c>
      <c r="F23" s="61">
        <f t="shared" si="103"/>
        <v>0</v>
      </c>
      <c r="G23" s="36">
        <v>0</v>
      </c>
      <c r="H23" s="36">
        <v>0</v>
      </c>
      <c r="I23" s="36">
        <v>0</v>
      </c>
      <c r="J23" s="36">
        <v>0</v>
      </c>
      <c r="K23" s="61">
        <f t="shared" si="104"/>
        <v>0</v>
      </c>
      <c r="L23" s="36">
        <v>0</v>
      </c>
      <c r="M23" s="36">
        <v>0</v>
      </c>
      <c r="N23" s="36">
        <v>0</v>
      </c>
      <c r="O23" s="36">
        <v>0</v>
      </c>
      <c r="P23" s="61">
        <f t="shared" si="105"/>
        <v>0</v>
      </c>
      <c r="Q23" s="36">
        <v>0</v>
      </c>
      <c r="R23" s="36">
        <v>0</v>
      </c>
      <c r="S23" s="36">
        <v>0</v>
      </c>
      <c r="T23" s="36">
        <v>0</v>
      </c>
      <c r="U23" s="61">
        <f t="shared" si="106"/>
        <v>0</v>
      </c>
      <c r="V23" s="36">
        <v>0</v>
      </c>
      <c r="W23" s="36">
        <v>0</v>
      </c>
      <c r="X23" s="36">
        <v>0</v>
      </c>
      <c r="Y23" s="36">
        <v>0</v>
      </c>
      <c r="Z23" s="61">
        <f t="shared" si="107"/>
        <v>0</v>
      </c>
      <c r="AA23" s="36">
        <v>0</v>
      </c>
      <c r="AB23" s="36">
        <v>0</v>
      </c>
      <c r="AC23" s="36">
        <v>0</v>
      </c>
      <c r="AD23" s="36">
        <v>0</v>
      </c>
      <c r="AE23" s="61">
        <f t="shared" si="89"/>
        <v>0</v>
      </c>
      <c r="AF23" s="36">
        <v>0</v>
      </c>
      <c r="AG23" s="36">
        <v>0</v>
      </c>
      <c r="AH23" s="36">
        <v>0</v>
      </c>
      <c r="AI23" s="36">
        <v>0</v>
      </c>
      <c r="AJ23" s="61">
        <f t="shared" si="90"/>
        <v>0</v>
      </c>
      <c r="AK23" s="36">
        <v>146</v>
      </c>
      <c r="AL23" s="36">
        <v>145</v>
      </c>
      <c r="AM23" s="36">
        <v>193</v>
      </c>
      <c r="AN23" s="36">
        <v>151</v>
      </c>
      <c r="AO23" s="61">
        <f t="shared" si="91"/>
        <v>635</v>
      </c>
      <c r="AP23" s="36">
        <v>142</v>
      </c>
      <c r="AQ23" s="36">
        <v>142</v>
      </c>
      <c r="AR23" s="36">
        <v>137</v>
      </c>
      <c r="AS23" s="36">
        <v>129</v>
      </c>
      <c r="AT23" s="61">
        <f t="shared" si="92"/>
        <v>550</v>
      </c>
      <c r="AU23" s="36">
        <v>117</v>
      </c>
      <c r="AV23" s="36">
        <v>38</v>
      </c>
      <c r="AW23" s="36">
        <v>38</v>
      </c>
      <c r="AX23" s="36">
        <v>38</v>
      </c>
      <c r="AY23" s="61">
        <f t="shared" si="93"/>
        <v>231</v>
      </c>
      <c r="AZ23" s="36">
        <v>38.4</v>
      </c>
      <c r="BA23" s="36">
        <v>38.4</v>
      </c>
      <c r="BB23" s="36">
        <v>38.4</v>
      </c>
      <c r="BC23" s="36">
        <v>37.4</v>
      </c>
      <c r="BD23" s="61">
        <f t="shared" si="108"/>
        <v>152.6</v>
      </c>
      <c r="BE23" s="36">
        <v>160</v>
      </c>
      <c r="BF23" s="36">
        <v>416</v>
      </c>
      <c r="BG23" s="36">
        <v>563</v>
      </c>
      <c r="BH23" s="36">
        <v>346</v>
      </c>
      <c r="BI23" s="61">
        <f t="shared" ref="BI23:BI25" si="109">SUM(BE23:BH23)</f>
        <v>1485</v>
      </c>
      <c r="BJ23" s="36">
        <v>602</v>
      </c>
      <c r="BK23" s="36">
        <v>603</v>
      </c>
      <c r="BL23" s="36">
        <v>509</v>
      </c>
      <c r="BM23" s="36">
        <v>976</v>
      </c>
      <c r="BN23" s="61">
        <f t="shared" ref="BN23:BN25" si="110">SUM(BJ23:BM23)</f>
        <v>2690</v>
      </c>
      <c r="BO23" s="36">
        <v>1776</v>
      </c>
      <c r="BP23" s="36">
        <v>1804</v>
      </c>
      <c r="BQ23" s="36">
        <v>1779</v>
      </c>
      <c r="BR23" s="36">
        <v>1779</v>
      </c>
      <c r="BS23" s="61">
        <f t="shared" ref="BS23:BS25" si="111">SUM(BO23:BR23)</f>
        <v>7138</v>
      </c>
      <c r="BT23" s="36">
        <v>1778</v>
      </c>
      <c r="BU23" s="36">
        <v>1777</v>
      </c>
      <c r="BV23" s="36">
        <v>1779</v>
      </c>
      <c r="BW23" s="36">
        <v>1779</v>
      </c>
      <c r="BX23" s="61">
        <f t="shared" ref="BX23:BX25" si="112">SUM(BT23:BW23)</f>
        <v>7113</v>
      </c>
      <c r="BY23" s="36">
        <v>2016</v>
      </c>
      <c r="BZ23" s="36">
        <v>1879</v>
      </c>
      <c r="CA23" s="36">
        <v>1849</v>
      </c>
      <c r="CB23" s="36">
        <v>1840</v>
      </c>
      <c r="CC23" s="61">
        <f t="shared" ref="CC23:CC25" si="113">SUM(BY23:CB23)</f>
        <v>7584</v>
      </c>
      <c r="CD23" s="36">
        <v>1848</v>
      </c>
      <c r="CE23" s="36">
        <v>1854</v>
      </c>
      <c r="CF23" s="36">
        <v>1651</v>
      </c>
      <c r="CG23" s="36">
        <v>1469</v>
      </c>
      <c r="CH23" s="61">
        <f t="shared" ref="CH23:CH25" si="114">SUM(CD23:CG23)</f>
        <v>6822</v>
      </c>
      <c r="CI23" s="36">
        <v>1457</v>
      </c>
      <c r="CJ23" s="36">
        <v>1457</v>
      </c>
      <c r="CK23" s="36">
        <v>1456</v>
      </c>
      <c r="CL23" s="101">
        <v>1283</v>
      </c>
      <c r="CM23" s="61">
        <f t="shared" ref="CM23:CM25" si="115">SUM(CI23:CL23)</f>
        <v>5653</v>
      </c>
      <c r="CN23" s="36">
        <v>937</v>
      </c>
      <c r="CO23" s="36">
        <v>937</v>
      </c>
      <c r="CP23" s="36"/>
      <c r="CQ23" s="101"/>
      <c r="CR23" s="61">
        <f t="shared" ref="CR23:CR25" si="116">SUM(CN23:CQ23)</f>
        <v>1874</v>
      </c>
    </row>
    <row r="24" spans="1:96" ht="11.15" customHeight="1" x14ac:dyDescent="0.2">
      <c r="A24" s="21" t="s">
        <v>12</v>
      </c>
      <c r="B24" s="36">
        <v>0</v>
      </c>
      <c r="C24" s="36">
        <v>0</v>
      </c>
      <c r="D24" s="36">
        <v>0</v>
      </c>
      <c r="E24" s="36">
        <v>0</v>
      </c>
      <c r="F24" s="61">
        <f t="shared" si="103"/>
        <v>0</v>
      </c>
      <c r="G24" s="36">
        <v>0</v>
      </c>
      <c r="H24" s="36">
        <v>0</v>
      </c>
      <c r="I24" s="36">
        <v>0</v>
      </c>
      <c r="J24" s="36">
        <v>0</v>
      </c>
      <c r="K24" s="61">
        <f t="shared" si="104"/>
        <v>0</v>
      </c>
      <c r="L24" s="36">
        <v>0</v>
      </c>
      <c r="M24" s="36">
        <v>0</v>
      </c>
      <c r="N24" s="36">
        <v>0</v>
      </c>
      <c r="O24" s="36">
        <v>0</v>
      </c>
      <c r="P24" s="61">
        <f t="shared" si="105"/>
        <v>0</v>
      </c>
      <c r="Q24" s="36">
        <v>0</v>
      </c>
      <c r="R24" s="36">
        <v>0</v>
      </c>
      <c r="S24" s="36">
        <v>0</v>
      </c>
      <c r="T24" s="36">
        <v>0</v>
      </c>
      <c r="U24" s="61">
        <f t="shared" si="106"/>
        <v>0</v>
      </c>
      <c r="V24" s="36">
        <v>0</v>
      </c>
      <c r="W24" s="36">
        <v>0</v>
      </c>
      <c r="X24" s="36">
        <v>0</v>
      </c>
      <c r="Y24" s="36">
        <v>0</v>
      </c>
      <c r="Z24" s="61">
        <f t="shared" si="107"/>
        <v>0</v>
      </c>
      <c r="AA24" s="36">
        <v>0</v>
      </c>
      <c r="AB24" s="36">
        <v>0</v>
      </c>
      <c r="AC24" s="36">
        <v>0</v>
      </c>
      <c r="AD24" s="36">
        <v>0</v>
      </c>
      <c r="AE24" s="61">
        <f t="shared" si="89"/>
        <v>0</v>
      </c>
      <c r="AF24" s="36">
        <v>0</v>
      </c>
      <c r="AG24" s="36">
        <v>0</v>
      </c>
      <c r="AH24" s="36">
        <v>0</v>
      </c>
      <c r="AI24" s="36">
        <v>0</v>
      </c>
      <c r="AJ24" s="61">
        <f t="shared" si="90"/>
        <v>0</v>
      </c>
      <c r="AK24" s="36">
        <v>100</v>
      </c>
      <c r="AL24" s="36">
        <v>113</v>
      </c>
      <c r="AM24" s="36">
        <v>358</v>
      </c>
      <c r="AN24" s="36">
        <v>240</v>
      </c>
      <c r="AO24" s="61">
        <f t="shared" si="91"/>
        <v>811</v>
      </c>
      <c r="AP24" s="36">
        <v>236</v>
      </c>
      <c r="AQ24" s="36">
        <v>236</v>
      </c>
      <c r="AR24" s="36">
        <v>233</v>
      </c>
      <c r="AS24" s="36">
        <v>230</v>
      </c>
      <c r="AT24" s="61">
        <f t="shared" si="92"/>
        <v>935</v>
      </c>
      <c r="AU24" s="36">
        <v>160</v>
      </c>
      <c r="AV24" s="36">
        <v>160</v>
      </c>
      <c r="AW24" s="36">
        <v>160</v>
      </c>
      <c r="AX24" s="36">
        <v>160</v>
      </c>
      <c r="AY24" s="61">
        <f t="shared" si="93"/>
        <v>640</v>
      </c>
      <c r="AZ24" s="36">
        <v>160</v>
      </c>
      <c r="BA24" s="36">
        <v>160</v>
      </c>
      <c r="BB24" s="36">
        <v>160</v>
      </c>
      <c r="BC24" s="36">
        <v>160</v>
      </c>
      <c r="BD24" s="61">
        <f t="shared" si="108"/>
        <v>640</v>
      </c>
      <c r="BE24" s="36">
        <v>160</v>
      </c>
      <c r="BF24" s="36">
        <v>160</v>
      </c>
      <c r="BG24" s="36">
        <v>160</v>
      </c>
      <c r="BH24" s="36">
        <v>160</v>
      </c>
      <c r="BI24" s="61">
        <f t="shared" si="109"/>
        <v>640</v>
      </c>
      <c r="BJ24" s="36">
        <v>160</v>
      </c>
      <c r="BK24" s="36">
        <v>160</v>
      </c>
      <c r="BL24" s="36">
        <v>160</v>
      </c>
      <c r="BM24" s="36">
        <v>160</v>
      </c>
      <c r="BN24" s="61">
        <f t="shared" si="110"/>
        <v>640</v>
      </c>
      <c r="BO24" s="36">
        <v>160</v>
      </c>
      <c r="BP24" s="36">
        <v>160</v>
      </c>
      <c r="BQ24" s="36">
        <v>160</v>
      </c>
      <c r="BR24" s="36">
        <v>160</v>
      </c>
      <c r="BS24" s="61">
        <f t="shared" si="111"/>
        <v>640</v>
      </c>
      <c r="BT24" s="36">
        <v>133</v>
      </c>
      <c r="BU24" s="36">
        <v>0</v>
      </c>
      <c r="BV24" s="36">
        <v>0</v>
      </c>
      <c r="BW24" s="36">
        <v>0</v>
      </c>
      <c r="BX24" s="61">
        <f t="shared" si="112"/>
        <v>133</v>
      </c>
      <c r="BY24" s="36">
        <v>0</v>
      </c>
      <c r="BZ24" s="36">
        <v>0</v>
      </c>
      <c r="CA24" s="36">
        <v>0</v>
      </c>
      <c r="CB24" s="36">
        <v>0</v>
      </c>
      <c r="CC24" s="61">
        <f t="shared" si="113"/>
        <v>0</v>
      </c>
      <c r="CD24" s="36">
        <v>0</v>
      </c>
      <c r="CE24" s="36">
        <v>0</v>
      </c>
      <c r="CF24" s="36">
        <v>0</v>
      </c>
      <c r="CG24" s="36">
        <v>0</v>
      </c>
      <c r="CH24" s="61">
        <f t="shared" si="114"/>
        <v>0</v>
      </c>
      <c r="CI24" s="36">
        <v>0</v>
      </c>
      <c r="CJ24" s="36">
        <v>0</v>
      </c>
      <c r="CK24" s="36">
        <v>0</v>
      </c>
      <c r="CL24" s="101">
        <v>0</v>
      </c>
      <c r="CM24" s="61">
        <f t="shared" si="115"/>
        <v>0</v>
      </c>
      <c r="CN24" s="36">
        <v>0</v>
      </c>
      <c r="CO24" s="36">
        <v>0</v>
      </c>
      <c r="CP24" s="36"/>
      <c r="CQ24" s="101"/>
      <c r="CR24" s="61">
        <f t="shared" si="116"/>
        <v>0</v>
      </c>
    </row>
    <row r="25" spans="1:96" ht="11.15" customHeight="1" x14ac:dyDescent="0.2">
      <c r="A25" s="21" t="s">
        <v>23</v>
      </c>
      <c r="B25" s="36">
        <v>0</v>
      </c>
      <c r="C25" s="36">
        <v>0</v>
      </c>
      <c r="D25" s="36">
        <v>0</v>
      </c>
      <c r="E25" s="36">
        <v>0</v>
      </c>
      <c r="F25" s="61">
        <f t="shared" si="103"/>
        <v>0</v>
      </c>
      <c r="G25" s="36">
        <v>0</v>
      </c>
      <c r="H25" s="36">
        <v>0</v>
      </c>
      <c r="I25" s="36">
        <v>0</v>
      </c>
      <c r="J25" s="36">
        <v>0</v>
      </c>
      <c r="K25" s="61">
        <f t="shared" si="104"/>
        <v>0</v>
      </c>
      <c r="L25" s="36">
        <v>0</v>
      </c>
      <c r="M25" s="36">
        <v>0</v>
      </c>
      <c r="N25" s="36">
        <v>0</v>
      </c>
      <c r="O25" s="36">
        <v>0</v>
      </c>
      <c r="P25" s="61">
        <f t="shared" si="105"/>
        <v>0</v>
      </c>
      <c r="Q25" s="36">
        <v>0</v>
      </c>
      <c r="R25" s="36">
        <v>0</v>
      </c>
      <c r="S25" s="36">
        <v>0</v>
      </c>
      <c r="T25" s="36">
        <v>0</v>
      </c>
      <c r="U25" s="61">
        <f t="shared" si="106"/>
        <v>0</v>
      </c>
      <c r="V25" s="36">
        <v>0</v>
      </c>
      <c r="W25" s="36">
        <v>0</v>
      </c>
      <c r="X25" s="36">
        <v>0</v>
      </c>
      <c r="Y25" s="36">
        <v>0</v>
      </c>
      <c r="Z25" s="61">
        <f t="shared" si="107"/>
        <v>0</v>
      </c>
      <c r="AA25" s="36">
        <v>0</v>
      </c>
      <c r="AB25" s="36">
        <v>0</v>
      </c>
      <c r="AC25" s="36">
        <v>0</v>
      </c>
      <c r="AD25" s="36">
        <v>0</v>
      </c>
      <c r="AE25" s="61">
        <f t="shared" si="89"/>
        <v>0</v>
      </c>
      <c r="AF25" s="36">
        <v>0</v>
      </c>
      <c r="AG25" s="36">
        <v>0</v>
      </c>
      <c r="AH25" s="36">
        <v>0</v>
      </c>
      <c r="AI25" s="36">
        <v>0</v>
      </c>
      <c r="AJ25" s="61">
        <f t="shared" si="90"/>
        <v>0</v>
      </c>
      <c r="AK25" s="36">
        <v>35</v>
      </c>
      <c r="AL25" s="36">
        <v>106</v>
      </c>
      <c r="AM25" s="36">
        <v>-32</v>
      </c>
      <c r="AN25" s="36">
        <v>34</v>
      </c>
      <c r="AO25" s="61">
        <f t="shared" ref="AO25" si="117">SUM(AK25:AN25)</f>
        <v>143</v>
      </c>
      <c r="AP25" s="36">
        <v>9</v>
      </c>
      <c r="AQ25" s="36">
        <v>0</v>
      </c>
      <c r="AR25" s="36">
        <v>0</v>
      </c>
      <c r="AS25" s="36">
        <v>0</v>
      </c>
      <c r="AT25" s="61">
        <f t="shared" ref="AT25" si="118">SUM(AP25:AS25)</f>
        <v>9</v>
      </c>
      <c r="AU25" s="36">
        <v>0</v>
      </c>
      <c r="AV25" s="36">
        <v>0</v>
      </c>
      <c r="AW25" s="36">
        <v>0</v>
      </c>
      <c r="AX25" s="36">
        <v>0</v>
      </c>
      <c r="AY25" s="61">
        <f t="shared" si="93"/>
        <v>0</v>
      </c>
      <c r="AZ25" s="36">
        <v>0</v>
      </c>
      <c r="BA25" s="36">
        <v>0</v>
      </c>
      <c r="BB25" s="36">
        <v>0</v>
      </c>
      <c r="BC25" s="36">
        <v>0</v>
      </c>
      <c r="BD25" s="61">
        <f t="shared" si="108"/>
        <v>0</v>
      </c>
      <c r="BE25" s="36">
        <v>0</v>
      </c>
      <c r="BF25" s="36">
        <v>0</v>
      </c>
      <c r="BG25" s="36">
        <v>0</v>
      </c>
      <c r="BH25" s="36">
        <v>0</v>
      </c>
      <c r="BI25" s="61">
        <f t="shared" si="109"/>
        <v>0</v>
      </c>
      <c r="BJ25" s="36">
        <v>0</v>
      </c>
      <c r="BK25" s="36">
        <v>0</v>
      </c>
      <c r="BL25" s="36">
        <v>0</v>
      </c>
      <c r="BM25" s="36">
        <v>0</v>
      </c>
      <c r="BN25" s="61">
        <f t="shared" si="110"/>
        <v>0</v>
      </c>
      <c r="BO25" s="36">
        <v>0</v>
      </c>
      <c r="BP25" s="36">
        <v>0</v>
      </c>
      <c r="BQ25" s="36">
        <v>0</v>
      </c>
      <c r="BR25" s="36">
        <v>0</v>
      </c>
      <c r="BS25" s="61">
        <f t="shared" si="111"/>
        <v>0</v>
      </c>
      <c r="BT25" s="36">
        <v>0</v>
      </c>
      <c r="BU25" s="36">
        <v>0</v>
      </c>
      <c r="BV25" s="36">
        <v>0</v>
      </c>
      <c r="BW25" s="36">
        <v>0</v>
      </c>
      <c r="BX25" s="61">
        <f t="shared" si="112"/>
        <v>0</v>
      </c>
      <c r="BY25" s="36">
        <v>0</v>
      </c>
      <c r="BZ25" s="36">
        <v>0</v>
      </c>
      <c r="CA25" s="36">
        <v>0</v>
      </c>
      <c r="CB25" s="36">
        <v>0</v>
      </c>
      <c r="CC25" s="61">
        <f t="shared" si="113"/>
        <v>0</v>
      </c>
      <c r="CD25" s="36">
        <v>0</v>
      </c>
      <c r="CE25" s="36">
        <v>0</v>
      </c>
      <c r="CF25" s="36">
        <v>0</v>
      </c>
      <c r="CG25" s="36">
        <v>0</v>
      </c>
      <c r="CH25" s="61">
        <f t="shared" si="114"/>
        <v>0</v>
      </c>
      <c r="CI25" s="36">
        <v>0</v>
      </c>
      <c r="CJ25" s="36">
        <v>0</v>
      </c>
      <c r="CK25" s="36">
        <v>0</v>
      </c>
      <c r="CL25" s="101">
        <v>0</v>
      </c>
      <c r="CM25" s="61">
        <f t="shared" si="115"/>
        <v>0</v>
      </c>
      <c r="CN25" s="36">
        <v>0</v>
      </c>
      <c r="CO25" s="36">
        <v>0</v>
      </c>
      <c r="CP25" s="36"/>
      <c r="CQ25" s="101"/>
      <c r="CR25" s="61">
        <f t="shared" si="116"/>
        <v>0</v>
      </c>
    </row>
    <row r="26" spans="1:96" ht="11.15" customHeight="1" x14ac:dyDescent="0.2">
      <c r="A26" s="6" t="s">
        <v>240</v>
      </c>
      <c r="B26" s="36"/>
      <c r="C26" s="36"/>
      <c r="D26" s="36"/>
      <c r="E26" s="36"/>
      <c r="F26" s="61"/>
      <c r="G26" s="36"/>
      <c r="H26" s="36"/>
      <c r="I26" s="36"/>
      <c r="J26" s="36"/>
      <c r="K26" s="61"/>
      <c r="L26" s="36"/>
      <c r="M26" s="36"/>
      <c r="N26" s="36"/>
      <c r="O26" s="36"/>
      <c r="P26" s="61"/>
      <c r="Q26" s="36"/>
      <c r="R26" s="36"/>
      <c r="S26" s="36"/>
      <c r="T26" s="36"/>
      <c r="U26" s="61"/>
      <c r="V26" s="36"/>
      <c r="W26" s="36"/>
      <c r="X26" s="36"/>
      <c r="Y26" s="36"/>
      <c r="Z26" s="61"/>
      <c r="AA26" s="36"/>
      <c r="AB26" s="36"/>
      <c r="AC26" s="36"/>
      <c r="AD26" s="36"/>
      <c r="AE26" s="61"/>
      <c r="AF26" s="36"/>
      <c r="AG26" s="36"/>
      <c r="AH26" s="36"/>
      <c r="AI26" s="36"/>
      <c r="AJ26" s="61"/>
      <c r="AK26" s="36"/>
      <c r="AL26" s="36"/>
      <c r="AM26" s="36"/>
      <c r="AN26" s="36"/>
      <c r="AO26" s="61"/>
      <c r="AP26" s="36"/>
      <c r="AQ26" s="36"/>
      <c r="AR26" s="36"/>
      <c r="AS26" s="36"/>
      <c r="AT26" s="61"/>
      <c r="AU26" s="36"/>
      <c r="AV26" s="36"/>
      <c r="AW26" s="36"/>
      <c r="AX26" s="36"/>
      <c r="AY26" s="61"/>
      <c r="AZ26" s="36"/>
      <c r="BA26" s="36"/>
      <c r="BB26" s="36"/>
      <c r="BC26" s="36"/>
      <c r="BD26" s="61"/>
      <c r="BE26" s="36"/>
      <c r="BF26" s="36"/>
      <c r="BG26" s="36"/>
      <c r="BH26" s="36"/>
      <c r="BI26" s="61"/>
      <c r="BJ26" s="36"/>
      <c r="BK26" s="36"/>
      <c r="BL26" s="36"/>
      <c r="BM26" s="36"/>
      <c r="BN26" s="61"/>
      <c r="BO26" s="36"/>
      <c r="BP26" s="36"/>
      <c r="BQ26" s="36"/>
      <c r="BR26" s="36"/>
      <c r="BS26" s="61"/>
      <c r="BT26" s="36"/>
      <c r="BU26" s="36"/>
      <c r="BV26" s="36"/>
      <c r="BW26" s="36"/>
      <c r="BX26" s="61"/>
      <c r="BY26" s="36"/>
      <c r="BZ26" s="36"/>
      <c r="CA26" s="36"/>
      <c r="CB26" s="36"/>
      <c r="CC26" s="61"/>
      <c r="CD26" s="36"/>
      <c r="CE26" s="36"/>
      <c r="CF26" s="36"/>
      <c r="CG26" s="36"/>
      <c r="CH26" s="61"/>
      <c r="CI26" s="36"/>
      <c r="CJ26" s="36"/>
      <c r="CK26" s="36"/>
      <c r="CL26" s="101"/>
      <c r="CM26" s="61"/>
      <c r="CN26" s="36"/>
      <c r="CO26" s="36"/>
      <c r="CP26" s="36"/>
      <c r="CQ26" s="101"/>
      <c r="CR26" s="61"/>
    </row>
    <row r="27" spans="1:96" ht="11.15" customHeight="1" x14ac:dyDescent="0.2">
      <c r="A27" s="7" t="s">
        <v>237</v>
      </c>
      <c r="B27" s="36"/>
      <c r="C27" s="36"/>
      <c r="D27" s="36"/>
      <c r="E27" s="36"/>
      <c r="F27" s="61">
        <f>SUM(B27:E27)</f>
        <v>0</v>
      </c>
      <c r="G27" s="36">
        <v>0</v>
      </c>
      <c r="H27" s="36">
        <v>0</v>
      </c>
      <c r="I27" s="36">
        <v>0</v>
      </c>
      <c r="J27" s="36">
        <v>0</v>
      </c>
      <c r="K27" s="61">
        <f>SUM(G27:J27)</f>
        <v>0</v>
      </c>
      <c r="L27" s="36">
        <v>0</v>
      </c>
      <c r="M27" s="36">
        <v>0</v>
      </c>
      <c r="N27" s="36">
        <v>0</v>
      </c>
      <c r="O27" s="36">
        <v>0</v>
      </c>
      <c r="P27" s="61">
        <f>SUM(L27:O27)</f>
        <v>0</v>
      </c>
      <c r="Q27" s="36">
        <v>0</v>
      </c>
      <c r="R27" s="36">
        <v>0</v>
      </c>
      <c r="S27" s="36">
        <v>0</v>
      </c>
      <c r="T27" s="36">
        <v>0</v>
      </c>
      <c r="U27" s="61">
        <f>SUM(Q27:T27)</f>
        <v>0</v>
      </c>
      <c r="V27" s="36">
        <v>0</v>
      </c>
      <c r="W27" s="36">
        <v>0</v>
      </c>
      <c r="X27" s="36">
        <v>0</v>
      </c>
      <c r="Y27" s="36">
        <v>0</v>
      </c>
      <c r="Z27" s="61">
        <f>SUM(V27:Y27)</f>
        <v>0</v>
      </c>
      <c r="AA27" s="36">
        <v>0</v>
      </c>
      <c r="AB27" s="36">
        <v>0</v>
      </c>
      <c r="AC27" s="36">
        <v>0</v>
      </c>
      <c r="AD27" s="36">
        <v>0</v>
      </c>
      <c r="AE27" s="61">
        <f>SUM(AA27:AD27)</f>
        <v>0</v>
      </c>
      <c r="AF27" s="36">
        <v>0</v>
      </c>
      <c r="AG27" s="36">
        <v>0</v>
      </c>
      <c r="AH27" s="36">
        <v>0</v>
      </c>
      <c r="AI27" s="36">
        <v>0</v>
      </c>
      <c r="AJ27" s="61">
        <f>SUM(AF27:AI27)</f>
        <v>0</v>
      </c>
      <c r="AK27" s="36">
        <v>0</v>
      </c>
      <c r="AL27" s="36">
        <v>0</v>
      </c>
      <c r="AM27" s="36">
        <v>0</v>
      </c>
      <c r="AN27" s="36">
        <v>0</v>
      </c>
      <c r="AO27" s="61">
        <f>SUM(AK27:AN27)</f>
        <v>0</v>
      </c>
      <c r="AP27" s="36">
        <v>0</v>
      </c>
      <c r="AQ27" s="36">
        <v>0</v>
      </c>
      <c r="AR27" s="36">
        <v>0</v>
      </c>
      <c r="AS27" s="36">
        <v>0</v>
      </c>
      <c r="AT27" s="61">
        <f>SUM(AP27:AS27)</f>
        <v>0</v>
      </c>
      <c r="AU27" s="36">
        <v>0</v>
      </c>
      <c r="AV27" s="36">
        <v>0</v>
      </c>
      <c r="AW27" s="36">
        <v>0</v>
      </c>
      <c r="AX27" s="36">
        <v>0</v>
      </c>
      <c r="AY27" s="61">
        <f>SUM(AU27:AX27)</f>
        <v>0</v>
      </c>
      <c r="AZ27" s="36">
        <v>0</v>
      </c>
      <c r="BA27" s="36">
        <v>0</v>
      </c>
      <c r="BB27" s="36">
        <v>0</v>
      </c>
      <c r="BC27" s="36">
        <v>0</v>
      </c>
      <c r="BD27" s="61">
        <f>SUM(AZ27:BC27)</f>
        <v>0</v>
      </c>
      <c r="BE27" s="36">
        <v>0</v>
      </c>
      <c r="BF27" s="36">
        <v>0</v>
      </c>
      <c r="BG27" s="36">
        <v>0</v>
      </c>
      <c r="BH27" s="36">
        <v>0</v>
      </c>
      <c r="BI27" s="61">
        <f>SUM(BE27:BH27)</f>
        <v>0</v>
      </c>
      <c r="BJ27" s="36">
        <v>0</v>
      </c>
      <c r="BK27" s="36"/>
      <c r="BL27" s="36"/>
      <c r="BM27" s="36"/>
      <c r="BN27" s="61">
        <f>SUM(BJ27:BM27)</f>
        <v>0</v>
      </c>
      <c r="BO27" s="36"/>
      <c r="BP27" s="36"/>
      <c r="BQ27" s="36"/>
      <c r="BR27" s="36"/>
      <c r="BS27" s="61">
        <f>SUM(BO27:BR27)</f>
        <v>0</v>
      </c>
      <c r="BT27" s="36"/>
      <c r="BU27" s="36"/>
      <c r="BV27" s="36"/>
      <c r="BW27" s="36"/>
      <c r="BX27" s="61">
        <f>SUM(BT27:BW27)</f>
        <v>0</v>
      </c>
      <c r="BY27" s="36"/>
      <c r="BZ27" s="36"/>
      <c r="CA27" s="36"/>
      <c r="CB27" s="36"/>
      <c r="CC27" s="61">
        <f>SUM(BY27:CB27)</f>
        <v>0</v>
      </c>
      <c r="CD27" s="36">
        <v>0</v>
      </c>
      <c r="CE27" s="36">
        <v>0</v>
      </c>
      <c r="CF27" s="36">
        <v>0</v>
      </c>
      <c r="CG27" s="36">
        <v>74055.226956688464</v>
      </c>
      <c r="CH27" s="61">
        <f>SUM(CD27:CG27)</f>
        <v>74055.226956688464</v>
      </c>
      <c r="CI27" s="36">
        <v>0</v>
      </c>
      <c r="CJ27" s="36">
        <v>0</v>
      </c>
      <c r="CK27" s="36">
        <v>0</v>
      </c>
      <c r="CL27" s="101">
        <v>0</v>
      </c>
      <c r="CM27" s="61">
        <f>SUM(CI27:CL27)</f>
        <v>0</v>
      </c>
      <c r="CN27" s="36">
        <v>0</v>
      </c>
      <c r="CO27" s="36">
        <v>0</v>
      </c>
      <c r="CP27" s="36"/>
      <c r="CQ27" s="101"/>
      <c r="CR27" s="61">
        <f>SUM(CN27:CQ27)</f>
        <v>0</v>
      </c>
    </row>
    <row r="28" spans="1:96" ht="11.15" customHeight="1" x14ac:dyDescent="0.2">
      <c r="A28" s="7" t="s">
        <v>212</v>
      </c>
      <c r="B28" s="36"/>
      <c r="C28" s="36"/>
      <c r="D28" s="36"/>
      <c r="E28" s="36"/>
      <c r="F28" s="61">
        <v>0</v>
      </c>
      <c r="G28" s="36"/>
      <c r="H28" s="36"/>
      <c r="I28" s="36"/>
      <c r="J28" s="36"/>
      <c r="K28" s="61">
        <v>0</v>
      </c>
      <c r="L28" s="36"/>
      <c r="M28" s="36"/>
      <c r="N28" s="36"/>
      <c r="O28" s="36"/>
      <c r="P28" s="61">
        <v>0</v>
      </c>
      <c r="Q28" s="36"/>
      <c r="R28" s="36"/>
      <c r="S28" s="36"/>
      <c r="T28" s="36"/>
      <c r="U28" s="61">
        <v>0</v>
      </c>
      <c r="V28" s="36"/>
      <c r="W28" s="36"/>
      <c r="X28" s="36"/>
      <c r="Y28" s="36"/>
      <c r="Z28" s="61">
        <v>0</v>
      </c>
      <c r="AA28" s="36"/>
      <c r="AB28" s="36"/>
      <c r="AC28" s="36"/>
      <c r="AD28" s="36"/>
      <c r="AE28" s="61">
        <v>0</v>
      </c>
      <c r="AF28" s="36"/>
      <c r="AG28" s="36"/>
      <c r="AH28" s="36"/>
      <c r="AI28" s="36"/>
      <c r="AJ28" s="61">
        <v>0</v>
      </c>
      <c r="AK28" s="36"/>
      <c r="AL28" s="36"/>
      <c r="AM28" s="36"/>
      <c r="AN28" s="36"/>
      <c r="AO28" s="61">
        <v>0</v>
      </c>
      <c r="AP28" s="36"/>
      <c r="AQ28" s="36"/>
      <c r="AR28" s="36"/>
      <c r="AS28" s="36"/>
      <c r="AT28" s="61">
        <v>0</v>
      </c>
      <c r="AU28" s="36"/>
      <c r="AV28" s="36"/>
      <c r="AW28" s="36"/>
      <c r="AX28" s="36"/>
      <c r="AY28" s="61">
        <v>0</v>
      </c>
      <c r="AZ28" s="36"/>
      <c r="BA28" s="36"/>
      <c r="BB28" s="36"/>
      <c r="BC28" s="36"/>
      <c r="BD28" s="61">
        <v>0</v>
      </c>
      <c r="BE28" s="36"/>
      <c r="BF28" s="36"/>
      <c r="BG28" s="36"/>
      <c r="BH28" s="36"/>
      <c r="BI28" s="61">
        <v>0</v>
      </c>
      <c r="BJ28" s="36"/>
      <c r="BK28" s="36"/>
      <c r="BL28" s="36"/>
      <c r="BM28" s="36"/>
      <c r="BN28" s="61">
        <v>0</v>
      </c>
      <c r="BO28" s="36">
        <v>0</v>
      </c>
      <c r="BP28" s="36">
        <v>0</v>
      </c>
      <c r="BQ28" s="36">
        <v>0</v>
      </c>
      <c r="BR28" s="36">
        <v>37120</v>
      </c>
      <c r="BS28" s="61">
        <f>SUM(BO28:BR28)</f>
        <v>37120</v>
      </c>
      <c r="BT28" s="36">
        <v>0</v>
      </c>
      <c r="BU28" s="36">
        <v>0</v>
      </c>
      <c r="BV28" s="36">
        <v>44589</v>
      </c>
      <c r="BW28" s="36">
        <v>0</v>
      </c>
      <c r="BX28" s="61">
        <f>SUM(BT28:BW28)</f>
        <v>44589</v>
      </c>
      <c r="BY28" s="36"/>
      <c r="BZ28" s="36"/>
      <c r="CA28" s="36"/>
      <c r="CB28" s="36"/>
      <c r="CC28" s="61">
        <v>0</v>
      </c>
      <c r="CD28" s="36"/>
      <c r="CE28" s="36"/>
      <c r="CF28" s="36"/>
      <c r="CG28" s="36"/>
      <c r="CH28" s="61">
        <v>0</v>
      </c>
      <c r="CI28" s="36">
        <v>0</v>
      </c>
      <c r="CJ28" s="36">
        <v>0</v>
      </c>
      <c r="CK28" s="36">
        <v>0</v>
      </c>
      <c r="CL28" s="101">
        <v>0</v>
      </c>
      <c r="CM28" s="61">
        <f>SUM(CI28:CL28)</f>
        <v>0</v>
      </c>
      <c r="CN28" s="36">
        <v>0</v>
      </c>
      <c r="CO28" s="36">
        <v>0</v>
      </c>
      <c r="CP28" s="36"/>
      <c r="CQ28" s="101"/>
      <c r="CR28" s="61">
        <f>SUM(CN28:CQ28)</f>
        <v>0</v>
      </c>
    </row>
    <row r="29" spans="1:96" ht="11.15" customHeight="1" x14ac:dyDescent="0.2">
      <c r="A29" s="7" t="s">
        <v>241</v>
      </c>
      <c r="B29" s="36"/>
      <c r="C29" s="36"/>
      <c r="D29" s="36"/>
      <c r="E29" s="36"/>
      <c r="F29" s="61"/>
      <c r="G29" s="36"/>
      <c r="H29" s="36"/>
      <c r="I29" s="36"/>
      <c r="J29" s="36"/>
      <c r="K29" s="61"/>
      <c r="L29" s="36"/>
      <c r="M29" s="36"/>
      <c r="N29" s="36"/>
      <c r="O29" s="36"/>
      <c r="P29" s="61"/>
      <c r="Q29" s="36"/>
      <c r="R29" s="36"/>
      <c r="S29" s="36"/>
      <c r="T29" s="36"/>
      <c r="U29" s="61"/>
      <c r="V29" s="36"/>
      <c r="W29" s="36"/>
      <c r="X29" s="36"/>
      <c r="Y29" s="36"/>
      <c r="Z29" s="61"/>
      <c r="AA29" s="36"/>
      <c r="AB29" s="36"/>
      <c r="AC29" s="36"/>
      <c r="AD29" s="36"/>
      <c r="AE29" s="61"/>
      <c r="AF29" s="36"/>
      <c r="AG29" s="36"/>
      <c r="AH29" s="36"/>
      <c r="AI29" s="36"/>
      <c r="AJ29" s="61"/>
      <c r="AK29" s="36"/>
      <c r="AL29" s="36"/>
      <c r="AM29" s="36"/>
      <c r="AN29" s="36"/>
      <c r="AO29" s="61"/>
      <c r="AP29" s="36"/>
      <c r="AQ29" s="36"/>
      <c r="AR29" s="36"/>
      <c r="AS29" s="36"/>
      <c r="AT29" s="61"/>
      <c r="AU29" s="36"/>
      <c r="AV29" s="36"/>
      <c r="AW29" s="36"/>
      <c r="AX29" s="36"/>
      <c r="AY29" s="61"/>
      <c r="AZ29" s="36"/>
      <c r="BA29" s="36"/>
      <c r="BB29" s="36"/>
      <c r="BC29" s="36"/>
      <c r="BD29" s="61"/>
      <c r="BE29" s="36"/>
      <c r="BF29" s="36"/>
      <c r="BG29" s="36"/>
      <c r="BH29" s="36"/>
      <c r="BI29" s="61"/>
      <c r="BJ29" s="36"/>
      <c r="BK29" s="36"/>
      <c r="BL29" s="36"/>
      <c r="BM29" s="36"/>
      <c r="BN29" s="61"/>
      <c r="BO29" s="36"/>
      <c r="BP29" s="36"/>
      <c r="BQ29" s="36"/>
      <c r="BR29" s="36"/>
      <c r="BS29" s="61"/>
      <c r="BT29" s="36"/>
      <c r="BU29" s="36"/>
      <c r="BV29" s="36"/>
      <c r="BW29" s="36"/>
      <c r="BX29" s="61"/>
      <c r="BY29" s="36"/>
      <c r="BZ29" s="36"/>
      <c r="CA29" s="36"/>
      <c r="CB29" s="36"/>
      <c r="CC29" s="61"/>
      <c r="CD29" s="36"/>
      <c r="CE29" s="36"/>
      <c r="CF29" s="36"/>
      <c r="CG29" s="36"/>
      <c r="CH29" s="61"/>
      <c r="CI29" s="36"/>
      <c r="CJ29" s="36"/>
      <c r="CK29" s="36"/>
      <c r="CL29" s="101"/>
      <c r="CM29" s="61"/>
      <c r="CN29" s="36"/>
      <c r="CO29" s="36"/>
      <c r="CP29" s="36"/>
      <c r="CQ29" s="101"/>
      <c r="CR29" s="61"/>
    </row>
    <row r="30" spans="1:96" ht="11.15" customHeight="1" x14ac:dyDescent="0.2">
      <c r="A30" s="21" t="s">
        <v>23</v>
      </c>
      <c r="B30" s="36">
        <v>0</v>
      </c>
      <c r="C30" s="36">
        <v>0</v>
      </c>
      <c r="D30" s="36">
        <v>0</v>
      </c>
      <c r="E30" s="36">
        <v>0</v>
      </c>
      <c r="F30" s="61">
        <f t="shared" ref="F30" si="119">SUM(B30:E30)</f>
        <v>0</v>
      </c>
      <c r="G30" s="36">
        <v>0</v>
      </c>
      <c r="H30" s="36">
        <v>0</v>
      </c>
      <c r="I30" s="36">
        <v>0</v>
      </c>
      <c r="J30" s="36">
        <v>0</v>
      </c>
      <c r="K30" s="61">
        <f t="shared" ref="K30" si="120">SUM(G30:J30)</f>
        <v>0</v>
      </c>
      <c r="L30" s="36">
        <v>0</v>
      </c>
      <c r="M30" s="36">
        <v>0</v>
      </c>
      <c r="N30" s="36">
        <v>0</v>
      </c>
      <c r="O30" s="36">
        <v>0</v>
      </c>
      <c r="P30" s="61">
        <f t="shared" ref="P30" si="121">SUM(L30:O30)</f>
        <v>0</v>
      </c>
      <c r="Q30" s="36">
        <v>0</v>
      </c>
      <c r="R30" s="36">
        <v>0</v>
      </c>
      <c r="S30" s="36">
        <v>0</v>
      </c>
      <c r="T30" s="36">
        <v>0</v>
      </c>
      <c r="U30" s="61">
        <f t="shared" ref="U30" si="122">SUM(Q30:T30)</f>
        <v>0</v>
      </c>
      <c r="V30" s="36">
        <v>0</v>
      </c>
      <c r="W30" s="36">
        <v>0</v>
      </c>
      <c r="X30" s="36">
        <v>0</v>
      </c>
      <c r="Y30" s="36">
        <v>0</v>
      </c>
      <c r="Z30" s="61">
        <f t="shared" ref="Z30" si="123">SUM(V30:Y30)</f>
        <v>0</v>
      </c>
      <c r="AA30" s="36">
        <v>0</v>
      </c>
      <c r="AB30" s="36">
        <v>0</v>
      </c>
      <c r="AC30" s="36">
        <v>0</v>
      </c>
      <c r="AD30" s="36">
        <v>0</v>
      </c>
      <c r="AE30" s="61">
        <f t="shared" ref="AE30" si="124">SUM(AA30:AD30)</f>
        <v>0</v>
      </c>
      <c r="AF30" s="36">
        <v>0</v>
      </c>
      <c r="AG30" s="36">
        <v>0</v>
      </c>
      <c r="AH30" s="36">
        <v>0</v>
      </c>
      <c r="AI30" s="36">
        <v>0</v>
      </c>
      <c r="AJ30" s="61">
        <f t="shared" ref="AJ30" si="125">SUM(AF30:AI30)</f>
        <v>0</v>
      </c>
      <c r="AK30" s="36">
        <v>0</v>
      </c>
      <c r="AL30" s="36">
        <v>0</v>
      </c>
      <c r="AM30" s="36">
        <v>0</v>
      </c>
      <c r="AN30" s="36">
        <v>0</v>
      </c>
      <c r="AO30" s="61">
        <f t="shared" ref="AO30" si="126">SUM(AK30:AN30)</f>
        <v>0</v>
      </c>
      <c r="AP30" s="36">
        <v>0</v>
      </c>
      <c r="AQ30" s="36">
        <v>0</v>
      </c>
      <c r="AR30" s="36">
        <v>0</v>
      </c>
      <c r="AS30" s="36">
        <v>0</v>
      </c>
      <c r="AT30" s="61">
        <f t="shared" ref="AT30" si="127">SUM(AP30:AS30)</f>
        <v>0</v>
      </c>
      <c r="AU30" s="36">
        <v>0</v>
      </c>
      <c r="AV30" s="36">
        <v>0</v>
      </c>
      <c r="AW30" s="36">
        <v>0</v>
      </c>
      <c r="AX30" s="36">
        <v>0</v>
      </c>
      <c r="AY30" s="61">
        <f t="shared" ref="AY30" si="128">SUM(AU30:AX30)</f>
        <v>0</v>
      </c>
      <c r="AZ30" s="36">
        <v>0</v>
      </c>
      <c r="BA30" s="36">
        <v>0</v>
      </c>
      <c r="BB30" s="36">
        <v>0</v>
      </c>
      <c r="BC30" s="36">
        <v>2857</v>
      </c>
      <c r="BD30" s="61">
        <f t="shared" ref="BD30" si="129">SUM(AZ30:BC30)</f>
        <v>2857</v>
      </c>
      <c r="BE30" s="36">
        <v>162</v>
      </c>
      <c r="BF30" s="36">
        <v>0</v>
      </c>
      <c r="BG30" s="36">
        <v>0</v>
      </c>
      <c r="BH30" s="36">
        <v>0</v>
      </c>
      <c r="BI30" s="61">
        <f t="shared" ref="BI30" si="130">SUM(BE30:BH30)</f>
        <v>162</v>
      </c>
      <c r="BJ30" s="36">
        <v>0</v>
      </c>
      <c r="BK30" s="36"/>
      <c r="BL30" s="36"/>
      <c r="BM30" s="36"/>
      <c r="BN30" s="61">
        <f t="shared" ref="BN30" si="131">SUM(BJ30:BM30)</f>
        <v>0</v>
      </c>
      <c r="BO30" s="36"/>
      <c r="BP30" s="36"/>
      <c r="BQ30" s="36"/>
      <c r="BR30" s="36"/>
      <c r="BS30" s="61">
        <f t="shared" ref="BS30" si="132">SUM(BO30:BR30)</f>
        <v>0</v>
      </c>
      <c r="BT30" s="36"/>
      <c r="BU30" s="36"/>
      <c r="BV30" s="36"/>
      <c r="BW30" s="36"/>
      <c r="BX30" s="61">
        <f t="shared" ref="BX30" si="133">SUM(BT30:BW30)</f>
        <v>0</v>
      </c>
      <c r="BY30" s="36"/>
      <c r="BZ30" s="36"/>
      <c r="CA30" s="36"/>
      <c r="CB30" s="36"/>
      <c r="CC30" s="61">
        <f t="shared" ref="CC30" si="134">SUM(BY30:CB30)</f>
        <v>0</v>
      </c>
      <c r="CD30" s="36">
        <v>0</v>
      </c>
      <c r="CE30" s="36">
        <v>0</v>
      </c>
      <c r="CF30" s="36">
        <v>0</v>
      </c>
      <c r="CG30" s="36">
        <v>0</v>
      </c>
      <c r="CH30" s="61">
        <f t="shared" ref="CH30:CH32" si="135">SUM(CD30:CG30)</f>
        <v>0</v>
      </c>
      <c r="CI30" s="36">
        <v>0</v>
      </c>
      <c r="CJ30" s="36">
        <v>0</v>
      </c>
      <c r="CK30" s="36">
        <v>0</v>
      </c>
      <c r="CL30" s="36">
        <v>0</v>
      </c>
      <c r="CM30" s="61">
        <f t="shared" ref="CM30:CM32" si="136">SUM(CI30:CL30)</f>
        <v>0</v>
      </c>
      <c r="CN30" s="36">
        <v>0</v>
      </c>
      <c r="CO30" s="36">
        <v>0</v>
      </c>
      <c r="CP30" s="36"/>
      <c r="CQ30" s="101"/>
      <c r="CR30" s="61">
        <f t="shared" ref="CR30:CR32" si="137">SUM(CN30:CQ30)</f>
        <v>0</v>
      </c>
    </row>
    <row r="31" spans="1:96" ht="11.15" customHeight="1" x14ac:dyDescent="0.2">
      <c r="A31" s="21" t="s">
        <v>229</v>
      </c>
      <c r="B31" s="36"/>
      <c r="C31" s="36"/>
      <c r="D31" s="36"/>
      <c r="E31" s="36"/>
      <c r="F31" s="61">
        <f t="shared" ref="F31:F32" si="138">SUM(B31:E31)</f>
        <v>0</v>
      </c>
      <c r="G31" s="36">
        <v>0</v>
      </c>
      <c r="H31" s="36">
        <v>0</v>
      </c>
      <c r="I31" s="36">
        <v>0</v>
      </c>
      <c r="J31" s="36">
        <v>0</v>
      </c>
      <c r="K31" s="61">
        <f t="shared" ref="K31:K32" si="139">SUM(G31:J31)</f>
        <v>0</v>
      </c>
      <c r="L31" s="36">
        <v>0</v>
      </c>
      <c r="M31" s="36">
        <v>0</v>
      </c>
      <c r="N31" s="36">
        <v>0</v>
      </c>
      <c r="O31" s="36">
        <v>0</v>
      </c>
      <c r="P31" s="61">
        <f t="shared" ref="P31:P32" si="140">SUM(L31:O31)</f>
        <v>0</v>
      </c>
      <c r="Q31" s="36">
        <v>0</v>
      </c>
      <c r="R31" s="36">
        <v>0</v>
      </c>
      <c r="S31" s="36">
        <v>0</v>
      </c>
      <c r="T31" s="36">
        <v>0</v>
      </c>
      <c r="U31" s="61">
        <f t="shared" ref="U31:U32" si="141">SUM(Q31:T31)</f>
        <v>0</v>
      </c>
      <c r="V31" s="36">
        <v>0</v>
      </c>
      <c r="W31" s="36">
        <v>0</v>
      </c>
      <c r="X31" s="36">
        <v>0</v>
      </c>
      <c r="Y31" s="36">
        <v>0</v>
      </c>
      <c r="Z31" s="61">
        <f t="shared" ref="Z31:Z32" si="142">SUM(V31:Y31)</f>
        <v>0</v>
      </c>
      <c r="AA31" s="36">
        <v>0</v>
      </c>
      <c r="AB31" s="36">
        <v>0</v>
      </c>
      <c r="AC31" s="36">
        <v>0</v>
      </c>
      <c r="AD31" s="36">
        <v>0</v>
      </c>
      <c r="AE31" s="61">
        <f t="shared" ref="AE31:AE32" si="143">SUM(AA31:AD31)</f>
        <v>0</v>
      </c>
      <c r="AF31" s="36">
        <v>0</v>
      </c>
      <c r="AG31" s="36">
        <v>0</v>
      </c>
      <c r="AH31" s="36">
        <v>0</v>
      </c>
      <c r="AI31" s="36">
        <v>0</v>
      </c>
      <c r="AJ31" s="61">
        <f t="shared" ref="AJ31:AJ32" si="144">SUM(AF31:AI31)</f>
        <v>0</v>
      </c>
      <c r="AK31" s="36">
        <v>0</v>
      </c>
      <c r="AL31" s="36">
        <v>0</v>
      </c>
      <c r="AM31" s="36">
        <v>0</v>
      </c>
      <c r="AN31" s="36">
        <v>0</v>
      </c>
      <c r="AO31" s="61">
        <f t="shared" ref="AO31:AO32" si="145">SUM(AK31:AN31)</f>
        <v>0</v>
      </c>
      <c r="AP31" s="36">
        <v>0</v>
      </c>
      <c r="AQ31" s="36">
        <v>0</v>
      </c>
      <c r="AR31" s="36">
        <v>0</v>
      </c>
      <c r="AS31" s="36">
        <v>0</v>
      </c>
      <c r="AT31" s="61">
        <f t="shared" ref="AT31:AT32" si="146">SUM(AP31:AS31)</f>
        <v>0</v>
      </c>
      <c r="AU31" s="36">
        <v>0</v>
      </c>
      <c r="AV31" s="36">
        <v>0</v>
      </c>
      <c r="AW31" s="36">
        <v>0</v>
      </c>
      <c r="AX31" s="36">
        <v>0</v>
      </c>
      <c r="AY31" s="61">
        <f t="shared" ref="AY31:AY32" si="147">SUM(AU31:AX31)</f>
        <v>0</v>
      </c>
      <c r="AZ31" s="36">
        <v>0</v>
      </c>
      <c r="BA31" s="36">
        <v>0</v>
      </c>
      <c r="BB31" s="36">
        <v>0</v>
      </c>
      <c r="BC31" s="36">
        <v>0</v>
      </c>
      <c r="BD31" s="61">
        <f t="shared" ref="BD31:BD32" si="148">SUM(AZ31:BC31)</f>
        <v>0</v>
      </c>
      <c r="BE31" s="36">
        <v>0</v>
      </c>
      <c r="BF31" s="36">
        <v>0</v>
      </c>
      <c r="BG31" s="36">
        <v>0</v>
      </c>
      <c r="BH31" s="36">
        <v>0</v>
      </c>
      <c r="BI31" s="61">
        <f t="shared" ref="BI31:BI32" si="149">SUM(BE31:BH31)</f>
        <v>0</v>
      </c>
      <c r="BJ31" s="36">
        <v>0</v>
      </c>
      <c r="BK31" s="36"/>
      <c r="BL31" s="36"/>
      <c r="BM31" s="36"/>
      <c r="BN31" s="61">
        <f t="shared" ref="BN31:BN32" si="150">SUM(BJ31:BM31)</f>
        <v>0</v>
      </c>
      <c r="BO31" s="36">
        <v>0</v>
      </c>
      <c r="BP31" s="36">
        <v>0</v>
      </c>
      <c r="BQ31" s="36">
        <v>0</v>
      </c>
      <c r="BR31" s="36">
        <v>5349</v>
      </c>
      <c r="BS31" s="61">
        <f t="shared" ref="BS31:BS32" si="151">SUM(BO31:BR31)</f>
        <v>5349</v>
      </c>
      <c r="BT31" s="36">
        <v>0</v>
      </c>
      <c r="BU31" s="36">
        <v>671</v>
      </c>
      <c r="BV31" s="36">
        <v>0</v>
      </c>
      <c r="BW31" s="36">
        <v>0</v>
      </c>
      <c r="BX31" s="61">
        <f t="shared" ref="BX31:BX32" si="152">SUM(BT31:BW31)</f>
        <v>671</v>
      </c>
      <c r="BY31" s="36"/>
      <c r="BZ31" s="36"/>
      <c r="CA31" s="36"/>
      <c r="CB31" s="36"/>
      <c r="CC31" s="61">
        <f t="shared" ref="CC31:CC32" si="153">SUM(BY31:CB31)</f>
        <v>0</v>
      </c>
      <c r="CD31" s="36">
        <v>0</v>
      </c>
      <c r="CE31" s="36">
        <v>0</v>
      </c>
      <c r="CF31" s="36">
        <v>919</v>
      </c>
      <c r="CG31" s="36">
        <v>79030</v>
      </c>
      <c r="CH31" s="61">
        <f t="shared" si="135"/>
        <v>79949</v>
      </c>
      <c r="CI31" s="36">
        <v>0</v>
      </c>
      <c r="CJ31" s="36">
        <v>0</v>
      </c>
      <c r="CK31" s="36">
        <v>1237</v>
      </c>
      <c r="CL31" s="101">
        <v>0</v>
      </c>
      <c r="CM31" s="61">
        <f t="shared" si="136"/>
        <v>1237</v>
      </c>
      <c r="CN31" s="36">
        <v>0</v>
      </c>
      <c r="CO31" s="36">
        <f>'Income Statement'!CO15</f>
        <v>0</v>
      </c>
      <c r="CP31" s="36"/>
      <c r="CQ31" s="101"/>
      <c r="CR31" s="61">
        <f t="shared" si="137"/>
        <v>0</v>
      </c>
    </row>
    <row r="32" spans="1:96" ht="11.15" customHeight="1" x14ac:dyDescent="0.2">
      <c r="A32" s="7" t="s">
        <v>251</v>
      </c>
      <c r="B32" s="36"/>
      <c r="C32" s="36"/>
      <c r="D32" s="36"/>
      <c r="E32" s="36"/>
      <c r="F32" s="61">
        <f t="shared" si="138"/>
        <v>0</v>
      </c>
      <c r="G32" s="36">
        <v>0</v>
      </c>
      <c r="H32" s="36">
        <v>0</v>
      </c>
      <c r="I32" s="36">
        <v>0</v>
      </c>
      <c r="J32" s="36">
        <v>0</v>
      </c>
      <c r="K32" s="61">
        <f t="shared" si="139"/>
        <v>0</v>
      </c>
      <c r="L32" s="36">
        <v>0</v>
      </c>
      <c r="M32" s="36">
        <v>0</v>
      </c>
      <c r="N32" s="36">
        <v>0</v>
      </c>
      <c r="O32" s="36">
        <v>0</v>
      </c>
      <c r="P32" s="61">
        <f t="shared" si="140"/>
        <v>0</v>
      </c>
      <c r="Q32" s="36">
        <v>0</v>
      </c>
      <c r="R32" s="36">
        <v>0</v>
      </c>
      <c r="S32" s="36">
        <v>0</v>
      </c>
      <c r="T32" s="36">
        <v>0</v>
      </c>
      <c r="U32" s="61">
        <f t="shared" si="141"/>
        <v>0</v>
      </c>
      <c r="V32" s="36">
        <v>0</v>
      </c>
      <c r="W32" s="36">
        <v>0</v>
      </c>
      <c r="X32" s="36">
        <v>0</v>
      </c>
      <c r="Y32" s="36">
        <v>0</v>
      </c>
      <c r="Z32" s="61">
        <f t="shared" si="142"/>
        <v>0</v>
      </c>
      <c r="AA32" s="36">
        <v>0</v>
      </c>
      <c r="AB32" s="36">
        <v>0</v>
      </c>
      <c r="AC32" s="36">
        <v>0</v>
      </c>
      <c r="AD32" s="36">
        <v>0</v>
      </c>
      <c r="AE32" s="61">
        <f t="shared" si="143"/>
        <v>0</v>
      </c>
      <c r="AF32" s="36">
        <v>0</v>
      </c>
      <c r="AG32" s="36">
        <v>0</v>
      </c>
      <c r="AH32" s="36">
        <v>0</v>
      </c>
      <c r="AI32" s="36">
        <v>0</v>
      </c>
      <c r="AJ32" s="61">
        <f t="shared" si="144"/>
        <v>0</v>
      </c>
      <c r="AK32" s="36">
        <v>0</v>
      </c>
      <c r="AL32" s="36">
        <v>0</v>
      </c>
      <c r="AM32" s="36">
        <v>0</v>
      </c>
      <c r="AN32" s="36">
        <v>0</v>
      </c>
      <c r="AO32" s="61">
        <f t="shared" si="145"/>
        <v>0</v>
      </c>
      <c r="AP32" s="36">
        <v>0</v>
      </c>
      <c r="AQ32" s="36">
        <v>0</v>
      </c>
      <c r="AR32" s="36">
        <v>0</v>
      </c>
      <c r="AS32" s="36">
        <v>0</v>
      </c>
      <c r="AT32" s="61">
        <f t="shared" si="146"/>
        <v>0</v>
      </c>
      <c r="AU32" s="36">
        <v>0</v>
      </c>
      <c r="AV32" s="36">
        <v>0</v>
      </c>
      <c r="AW32" s="36">
        <v>0</v>
      </c>
      <c r="AX32" s="36">
        <v>0</v>
      </c>
      <c r="AY32" s="61">
        <f t="shared" si="147"/>
        <v>0</v>
      </c>
      <c r="AZ32" s="36">
        <v>0</v>
      </c>
      <c r="BA32" s="36">
        <v>0</v>
      </c>
      <c r="BB32" s="36">
        <v>0</v>
      </c>
      <c r="BC32" s="36">
        <v>0</v>
      </c>
      <c r="BD32" s="61">
        <f t="shared" si="148"/>
        <v>0</v>
      </c>
      <c r="BE32" s="36">
        <v>0</v>
      </c>
      <c r="BF32" s="36">
        <v>0</v>
      </c>
      <c r="BG32" s="36">
        <v>0</v>
      </c>
      <c r="BH32" s="36">
        <v>0</v>
      </c>
      <c r="BI32" s="61">
        <f t="shared" si="149"/>
        <v>0</v>
      </c>
      <c r="BJ32" s="36">
        <v>0</v>
      </c>
      <c r="BK32" s="36"/>
      <c r="BL32" s="36"/>
      <c r="BM32" s="36"/>
      <c r="BN32" s="61">
        <f t="shared" si="150"/>
        <v>0</v>
      </c>
      <c r="BO32" s="36">
        <v>0</v>
      </c>
      <c r="BP32" s="36">
        <v>0</v>
      </c>
      <c r="BQ32" s="36">
        <v>0</v>
      </c>
      <c r="BR32" s="36">
        <v>1781</v>
      </c>
      <c r="BS32" s="61">
        <f t="shared" si="151"/>
        <v>1781</v>
      </c>
      <c r="BT32" s="36">
        <v>0</v>
      </c>
      <c r="BU32" s="36">
        <v>494</v>
      </c>
      <c r="BV32" s="36">
        <v>12</v>
      </c>
      <c r="BW32" s="36">
        <v>0</v>
      </c>
      <c r="BX32" s="61">
        <f t="shared" si="152"/>
        <v>506</v>
      </c>
      <c r="BY32" s="36"/>
      <c r="BZ32" s="36"/>
      <c r="CA32" s="36"/>
      <c r="CB32" s="36"/>
      <c r="CC32" s="61">
        <f t="shared" si="153"/>
        <v>0</v>
      </c>
      <c r="CD32" s="36">
        <v>0</v>
      </c>
      <c r="CE32" s="36">
        <v>0</v>
      </c>
      <c r="CF32" s="36">
        <v>0</v>
      </c>
      <c r="CG32" s="36">
        <v>9697</v>
      </c>
      <c r="CH32" s="61">
        <f t="shared" si="135"/>
        <v>9697</v>
      </c>
      <c r="CI32" s="36">
        <v>181</v>
      </c>
      <c r="CJ32" s="36">
        <v>963</v>
      </c>
      <c r="CK32" s="36">
        <v>-1501</v>
      </c>
      <c r="CL32" s="101">
        <v>69</v>
      </c>
      <c r="CM32" s="61">
        <f t="shared" si="136"/>
        <v>-288</v>
      </c>
      <c r="CN32" s="36">
        <v>0</v>
      </c>
      <c r="CO32" s="36">
        <f>'Income Statement'!CO16</f>
        <v>0</v>
      </c>
      <c r="CP32" s="36"/>
      <c r="CQ32" s="101"/>
      <c r="CR32" s="61">
        <f t="shared" si="137"/>
        <v>0</v>
      </c>
    </row>
    <row r="33" spans="1:96" ht="11.15" customHeight="1" x14ac:dyDescent="0.2">
      <c r="A33" s="7" t="s">
        <v>255</v>
      </c>
      <c r="B33" s="36"/>
      <c r="C33" s="36"/>
      <c r="D33" s="36"/>
      <c r="E33" s="36"/>
      <c r="F33" s="61">
        <f>SUM(B33:E33)</f>
        <v>0</v>
      </c>
      <c r="G33" s="36">
        <v>0</v>
      </c>
      <c r="H33" s="36">
        <v>0</v>
      </c>
      <c r="I33" s="36">
        <v>0</v>
      </c>
      <c r="J33" s="36">
        <v>0</v>
      </c>
      <c r="K33" s="61">
        <f>SUM(G33:J33)</f>
        <v>0</v>
      </c>
      <c r="L33" s="36">
        <v>0</v>
      </c>
      <c r="M33" s="36">
        <v>0</v>
      </c>
      <c r="N33" s="36">
        <v>0</v>
      </c>
      <c r="O33" s="36">
        <v>0</v>
      </c>
      <c r="P33" s="61">
        <f>SUM(L33:O33)</f>
        <v>0</v>
      </c>
      <c r="Q33" s="36">
        <v>0</v>
      </c>
      <c r="R33" s="36">
        <v>0</v>
      </c>
      <c r="S33" s="36">
        <v>0</v>
      </c>
      <c r="T33" s="36">
        <v>0</v>
      </c>
      <c r="U33" s="61">
        <f>SUM(Q33:T33)</f>
        <v>0</v>
      </c>
      <c r="V33" s="36">
        <v>0</v>
      </c>
      <c r="W33" s="36">
        <v>0</v>
      </c>
      <c r="X33" s="36">
        <v>0</v>
      </c>
      <c r="Y33" s="36">
        <v>0</v>
      </c>
      <c r="Z33" s="61">
        <f>SUM(V33:Y33)</f>
        <v>0</v>
      </c>
      <c r="AA33" s="36">
        <v>0</v>
      </c>
      <c r="AB33" s="36">
        <v>0</v>
      </c>
      <c r="AC33" s="36">
        <v>0</v>
      </c>
      <c r="AD33" s="36">
        <v>0</v>
      </c>
      <c r="AE33" s="61">
        <f>SUM(AA33:AD33)</f>
        <v>0</v>
      </c>
      <c r="AF33" s="36">
        <v>0</v>
      </c>
      <c r="AG33" s="36">
        <v>0</v>
      </c>
      <c r="AH33" s="36">
        <v>0</v>
      </c>
      <c r="AI33" s="36">
        <v>0</v>
      </c>
      <c r="AJ33" s="61">
        <f>SUM(AF33:AI33)</f>
        <v>0</v>
      </c>
      <c r="AK33" s="36">
        <v>0</v>
      </c>
      <c r="AL33" s="36">
        <v>0</v>
      </c>
      <c r="AM33" s="36">
        <v>0</v>
      </c>
      <c r="AN33" s="36">
        <v>0</v>
      </c>
      <c r="AO33" s="61">
        <f>SUM(AK33:AN33)</f>
        <v>0</v>
      </c>
      <c r="AP33" s="36">
        <v>0</v>
      </c>
      <c r="AQ33" s="36">
        <v>0</v>
      </c>
      <c r="AR33" s="36">
        <v>0</v>
      </c>
      <c r="AS33" s="36">
        <v>0</v>
      </c>
      <c r="AT33" s="61">
        <f>SUM(AP33:AS33)</f>
        <v>0</v>
      </c>
      <c r="AU33" s="36">
        <v>0</v>
      </c>
      <c r="AV33" s="36">
        <v>0</v>
      </c>
      <c r="AW33" s="36">
        <v>0</v>
      </c>
      <c r="AX33" s="36">
        <v>0</v>
      </c>
      <c r="AY33" s="61">
        <f>SUM(AU33:AX33)</f>
        <v>0</v>
      </c>
      <c r="AZ33" s="36">
        <v>0</v>
      </c>
      <c r="BA33" s="36">
        <v>0</v>
      </c>
      <c r="BB33" s="36">
        <v>0</v>
      </c>
      <c r="BC33" s="36">
        <v>0</v>
      </c>
      <c r="BD33" s="61">
        <f>SUM(AZ33:BC33)</f>
        <v>0</v>
      </c>
      <c r="BE33" s="36">
        <v>0</v>
      </c>
      <c r="BF33" s="36">
        <v>0</v>
      </c>
      <c r="BG33" s="36">
        <v>0</v>
      </c>
      <c r="BH33" s="36">
        <v>0</v>
      </c>
      <c r="BI33" s="61">
        <f>SUM(BE33:BH33)</f>
        <v>0</v>
      </c>
      <c r="BJ33" s="36">
        <v>0</v>
      </c>
      <c r="BK33" s="36"/>
      <c r="BL33" s="36"/>
      <c r="BM33" s="36"/>
      <c r="BN33" s="61">
        <f>SUM(BJ33:BM33)</f>
        <v>0</v>
      </c>
      <c r="BO33" s="36"/>
      <c r="BP33" s="36"/>
      <c r="BQ33" s="36"/>
      <c r="BR33" s="36"/>
      <c r="BS33" s="61">
        <f>SUM(BO33:BR33)</f>
        <v>0</v>
      </c>
      <c r="BT33" s="36"/>
      <c r="BU33" s="36"/>
      <c r="BV33" s="36"/>
      <c r="BW33" s="36"/>
      <c r="BX33" s="61">
        <f>SUM(BT33:BW33)</f>
        <v>0</v>
      </c>
      <c r="BY33" s="36"/>
      <c r="BZ33" s="36"/>
      <c r="CA33" s="36"/>
      <c r="CB33" s="36"/>
      <c r="CC33" s="61">
        <f>SUM(BY33:CB33)</f>
        <v>0</v>
      </c>
      <c r="CD33" s="36">
        <v>0</v>
      </c>
      <c r="CE33" s="36">
        <v>0</v>
      </c>
      <c r="CF33" s="36">
        <v>-21748</v>
      </c>
      <c r="CG33" s="36">
        <v>-10098</v>
      </c>
      <c r="CH33" s="61">
        <f>SUM(CD33:CG33)</f>
        <v>-31846</v>
      </c>
      <c r="CI33" s="36">
        <v>0</v>
      </c>
      <c r="CJ33" s="36">
        <v>0</v>
      </c>
      <c r="CK33" s="36">
        <v>0</v>
      </c>
      <c r="CL33" s="101">
        <v>0</v>
      </c>
      <c r="CM33" s="61">
        <f>SUM(CI33:CL33)</f>
        <v>0</v>
      </c>
      <c r="CN33" s="36">
        <v>-6776</v>
      </c>
      <c r="CO33" s="36">
        <f>'Income Statement'!CO14</f>
        <v>-674</v>
      </c>
      <c r="CP33" s="36"/>
      <c r="CQ33" s="101"/>
      <c r="CR33" s="61">
        <f>SUM(CN33:CQ33)</f>
        <v>-7450</v>
      </c>
    </row>
    <row r="34" spans="1:96" s="2" customFormat="1" ht="11" thickBot="1" x14ac:dyDescent="0.3">
      <c r="A34" s="26" t="s">
        <v>238</v>
      </c>
      <c r="B34" s="14">
        <f>SUM(B20:B22)</f>
        <v>0</v>
      </c>
      <c r="C34" s="14">
        <f>SUM(C20:C22)</f>
        <v>0</v>
      </c>
      <c r="D34" s="14">
        <f>SUM(D20:D22)</f>
        <v>0</v>
      </c>
      <c r="E34" s="14">
        <f>SUM(E20:E22)</f>
        <v>0</v>
      </c>
      <c r="F34" s="62">
        <f>SUM(B34:E34)</f>
        <v>0</v>
      </c>
      <c r="G34" s="14">
        <f>SUM(G20:G22)</f>
        <v>0</v>
      </c>
      <c r="H34" s="14">
        <f>SUM(H20:H22)</f>
        <v>0</v>
      </c>
      <c r="I34" s="14">
        <f>SUM(I20:I22)</f>
        <v>0</v>
      </c>
      <c r="J34" s="14">
        <f>SUM(J20:J22)</f>
        <v>0</v>
      </c>
      <c r="K34" s="62">
        <f>SUM(G34:J34)</f>
        <v>0</v>
      </c>
      <c r="L34" s="14">
        <f>SUM(L20:L22)</f>
        <v>0</v>
      </c>
      <c r="M34" s="14">
        <f>SUM(M20:M22)</f>
        <v>0</v>
      </c>
      <c r="N34" s="14">
        <f>SUM(N20:N22)</f>
        <v>0</v>
      </c>
      <c r="O34" s="14">
        <f>SUM(O20:O22)</f>
        <v>0</v>
      </c>
      <c r="P34" s="62">
        <f>SUM(L34:O34)</f>
        <v>0</v>
      </c>
      <c r="Q34" s="14">
        <f>SUM(Q20:Q22)</f>
        <v>0</v>
      </c>
      <c r="R34" s="14">
        <f>SUM(R20:R22)</f>
        <v>0</v>
      </c>
      <c r="S34" s="14">
        <f>SUM(S20:S22)</f>
        <v>0</v>
      </c>
      <c r="T34" s="14">
        <f>SUM(T20:T22)</f>
        <v>0</v>
      </c>
      <c r="U34" s="62">
        <f>SUM(Q34:T34)</f>
        <v>0</v>
      </c>
      <c r="V34" s="14">
        <f>SUM(V20:V22)</f>
        <v>0</v>
      </c>
      <c r="W34" s="14">
        <f>SUM(W20:W22)</f>
        <v>0</v>
      </c>
      <c r="X34" s="14">
        <f>SUM(X20:X22)</f>
        <v>0</v>
      </c>
      <c r="Y34" s="14">
        <f>SUM(Y20:Y22)</f>
        <v>0</v>
      </c>
      <c r="Z34" s="62">
        <f>SUM(V34:Y34)</f>
        <v>0</v>
      </c>
      <c r="AA34" s="14">
        <f>SUM(AA20:AA22)</f>
        <v>0</v>
      </c>
      <c r="AB34" s="14">
        <f>SUM(AB20:AB22)</f>
        <v>0</v>
      </c>
      <c r="AC34" s="14">
        <f>SUM(AC20:AC22)</f>
        <v>0</v>
      </c>
      <c r="AD34" s="14">
        <f>SUM(AD20:AD22)</f>
        <v>0</v>
      </c>
      <c r="AE34" s="62">
        <f>SUM(AA34:AD34)</f>
        <v>0</v>
      </c>
      <c r="AF34" s="14">
        <f>SUM(AF20:AF22)</f>
        <v>308</v>
      </c>
      <c r="AG34" s="14">
        <f>SUM(AG20:AG22)</f>
        <v>356</v>
      </c>
      <c r="AH34" s="14">
        <f>SUM(AH20:AH22)</f>
        <v>360</v>
      </c>
      <c r="AI34" s="14">
        <f>SUM(AI20:AI22)</f>
        <v>664</v>
      </c>
      <c r="AJ34" s="62">
        <f>SUM(AF34:AI34)</f>
        <v>1688</v>
      </c>
      <c r="AK34" s="14">
        <f>SUM(AK20:AK30)</f>
        <v>869</v>
      </c>
      <c r="AL34" s="14">
        <f>SUM(AL20:AL30)</f>
        <v>999.9</v>
      </c>
      <c r="AM34" s="14">
        <f>SUM(AM20:AM30)</f>
        <v>1153.9000000000001</v>
      </c>
      <c r="AN34" s="14">
        <f>SUM(AN20:AN30)</f>
        <v>605</v>
      </c>
      <c r="AO34" s="62">
        <f t="shared" ref="AO34:CD34" si="154">SUM(AO20:AO33)</f>
        <v>3627.8</v>
      </c>
      <c r="AP34" s="14">
        <f t="shared" si="154"/>
        <v>543</v>
      </c>
      <c r="AQ34" s="14">
        <f t="shared" si="154"/>
        <v>534</v>
      </c>
      <c r="AR34" s="14">
        <f t="shared" si="154"/>
        <v>526.5</v>
      </c>
      <c r="AS34" s="14">
        <f t="shared" si="154"/>
        <v>606.5</v>
      </c>
      <c r="AT34" s="62">
        <f t="shared" si="154"/>
        <v>2210</v>
      </c>
      <c r="AU34" s="14">
        <f t="shared" si="154"/>
        <v>512</v>
      </c>
      <c r="AV34" s="14">
        <f t="shared" si="154"/>
        <v>608</v>
      </c>
      <c r="AW34" s="14">
        <f t="shared" si="154"/>
        <v>586</v>
      </c>
      <c r="AX34" s="14">
        <f t="shared" si="154"/>
        <v>568</v>
      </c>
      <c r="AY34" s="62">
        <f t="shared" si="154"/>
        <v>2274</v>
      </c>
      <c r="AZ34" s="14">
        <f t="shared" si="154"/>
        <v>542.9</v>
      </c>
      <c r="BA34" s="14">
        <f t="shared" si="154"/>
        <v>1274.8000000000002</v>
      </c>
      <c r="BB34" s="14">
        <f t="shared" si="154"/>
        <v>2263.5</v>
      </c>
      <c r="BC34" s="14">
        <f t="shared" si="154"/>
        <v>4634.8</v>
      </c>
      <c r="BD34" s="62">
        <f t="shared" si="154"/>
        <v>8716</v>
      </c>
      <c r="BE34" s="14">
        <f t="shared" si="154"/>
        <v>1227</v>
      </c>
      <c r="BF34" s="14">
        <f t="shared" si="154"/>
        <v>1178</v>
      </c>
      <c r="BG34" s="14">
        <f t="shared" si="154"/>
        <v>3296</v>
      </c>
      <c r="BH34" s="14">
        <f t="shared" si="154"/>
        <v>2933</v>
      </c>
      <c r="BI34" s="62">
        <f t="shared" si="154"/>
        <v>8634</v>
      </c>
      <c r="BJ34" s="14">
        <f t="shared" si="154"/>
        <v>2213</v>
      </c>
      <c r="BK34" s="14">
        <f t="shared" si="154"/>
        <v>2132</v>
      </c>
      <c r="BL34" s="14">
        <f t="shared" si="154"/>
        <v>2032</v>
      </c>
      <c r="BM34" s="14">
        <f t="shared" si="154"/>
        <v>2349</v>
      </c>
      <c r="BN34" s="62">
        <f t="shared" si="154"/>
        <v>8726</v>
      </c>
      <c r="BO34" s="14">
        <f t="shared" si="154"/>
        <v>3249</v>
      </c>
      <c r="BP34" s="14">
        <f t="shared" si="154"/>
        <v>3255</v>
      </c>
      <c r="BQ34" s="14">
        <f t="shared" si="154"/>
        <v>3229</v>
      </c>
      <c r="BR34" s="14">
        <f t="shared" si="154"/>
        <v>47462</v>
      </c>
      <c r="BS34" s="62">
        <f t="shared" si="154"/>
        <v>57195</v>
      </c>
      <c r="BT34" s="14">
        <f t="shared" si="154"/>
        <v>3133</v>
      </c>
      <c r="BU34" s="14">
        <f t="shared" si="154"/>
        <v>4114</v>
      </c>
      <c r="BV34" s="14">
        <f t="shared" si="154"/>
        <v>47548</v>
      </c>
      <c r="BW34" s="14">
        <f t="shared" si="154"/>
        <v>2945</v>
      </c>
      <c r="BX34" s="62">
        <f t="shared" si="154"/>
        <v>57740</v>
      </c>
      <c r="BY34" s="14">
        <f t="shared" si="154"/>
        <v>3257</v>
      </c>
      <c r="BZ34" s="14">
        <f t="shared" si="154"/>
        <v>3079</v>
      </c>
      <c r="CA34" s="14">
        <f t="shared" si="154"/>
        <v>3051</v>
      </c>
      <c r="CB34" s="14">
        <f t="shared" si="154"/>
        <v>3040</v>
      </c>
      <c r="CC34" s="62">
        <f t="shared" si="154"/>
        <v>12427</v>
      </c>
      <c r="CD34" s="14">
        <f t="shared" si="154"/>
        <v>3021</v>
      </c>
      <c r="CE34" s="14">
        <f t="shared" ref="CE34:CJ34" si="155">SUM(CE20:CE33)</f>
        <v>2909</v>
      </c>
      <c r="CF34" s="14">
        <f t="shared" si="155"/>
        <v>-18382</v>
      </c>
      <c r="CG34" s="14">
        <f t="shared" si="155"/>
        <v>154761.22695668845</v>
      </c>
      <c r="CH34" s="62">
        <f t="shared" si="155"/>
        <v>142309.22695668845</v>
      </c>
      <c r="CI34" s="107">
        <f>SUM(CI20:CI33)</f>
        <v>2202</v>
      </c>
      <c r="CJ34" s="14">
        <f t="shared" si="155"/>
        <v>2984</v>
      </c>
      <c r="CK34" s="14">
        <f>SUM(CK20:CK33)</f>
        <v>1756</v>
      </c>
      <c r="CL34" s="14">
        <f>SUM(CL20:CL33)</f>
        <v>1902</v>
      </c>
      <c r="CM34" s="62">
        <f>SUM(CM20:CM33)</f>
        <v>8844</v>
      </c>
      <c r="CN34" s="107">
        <f>SUM(CN20:CN33)</f>
        <v>-5351</v>
      </c>
      <c r="CO34" s="14">
        <f>SUM(CO20:CO33)</f>
        <v>703</v>
      </c>
      <c r="CP34" s="14"/>
      <c r="CQ34" s="14"/>
      <c r="CR34" s="62">
        <f>SUM(CR20:CR33)</f>
        <v>-4648</v>
      </c>
    </row>
    <row r="35" spans="1:96" s="2" customFormat="1" ht="11.15" customHeight="1" thickTop="1" x14ac:dyDescent="0.25">
      <c r="A35" s="26"/>
      <c r="B35" s="34"/>
      <c r="C35" s="34"/>
      <c r="D35" s="34"/>
      <c r="E35" s="34"/>
      <c r="F35" s="58"/>
      <c r="G35" s="34"/>
      <c r="H35" s="34"/>
      <c r="I35" s="34"/>
      <c r="J35" s="34"/>
      <c r="K35" s="58"/>
      <c r="L35" s="34"/>
      <c r="M35" s="34"/>
      <c r="N35" s="34"/>
      <c r="O35" s="34"/>
      <c r="P35" s="58"/>
      <c r="Q35" s="34"/>
      <c r="R35" s="34"/>
      <c r="S35" s="34"/>
      <c r="T35" s="34"/>
      <c r="U35" s="58"/>
      <c r="V35" s="34"/>
      <c r="W35" s="34"/>
      <c r="X35" s="34"/>
      <c r="Y35" s="34"/>
      <c r="Z35" s="58"/>
      <c r="AA35" s="34"/>
      <c r="AB35" s="34"/>
      <c r="AC35" s="34"/>
      <c r="AD35" s="34"/>
      <c r="AE35" s="58"/>
      <c r="AF35" s="34"/>
      <c r="AG35" s="34"/>
      <c r="AH35" s="34"/>
      <c r="AI35" s="34"/>
      <c r="AJ35" s="58"/>
      <c r="AK35" s="34"/>
      <c r="AL35" s="34"/>
      <c r="AM35" s="34"/>
      <c r="AN35" s="34"/>
      <c r="AO35" s="58"/>
      <c r="AP35" s="34"/>
      <c r="AQ35" s="34"/>
      <c r="AR35" s="34"/>
      <c r="AS35" s="34"/>
      <c r="AT35" s="58"/>
      <c r="AU35" s="34"/>
      <c r="AV35" s="34"/>
      <c r="AW35" s="34"/>
      <c r="AX35" s="34"/>
      <c r="AY35" s="58"/>
      <c r="AZ35" s="34"/>
      <c r="BA35" s="34"/>
      <c r="BB35" s="34"/>
      <c r="BC35" s="34"/>
      <c r="BD35" s="58"/>
      <c r="BE35" s="34"/>
      <c r="BF35" s="34"/>
      <c r="BG35" s="34"/>
      <c r="BH35" s="34"/>
      <c r="BI35" s="58"/>
      <c r="BJ35" s="34"/>
      <c r="BK35" s="34"/>
      <c r="BL35" s="34"/>
      <c r="BM35" s="34"/>
      <c r="BN35" s="58"/>
      <c r="BO35" s="34"/>
      <c r="BP35" s="34"/>
      <c r="BQ35" s="34"/>
      <c r="BR35" s="34"/>
      <c r="BS35" s="58"/>
      <c r="BT35" s="34"/>
      <c r="BU35" s="34"/>
      <c r="BV35" s="34"/>
      <c r="BW35" s="34"/>
      <c r="BX35" s="58"/>
      <c r="BY35" s="34"/>
      <c r="BZ35" s="34"/>
      <c r="CA35" s="34"/>
      <c r="CB35" s="34"/>
      <c r="CC35" s="58"/>
      <c r="CD35" s="34"/>
      <c r="CE35" s="34"/>
      <c r="CF35" s="34"/>
      <c r="CG35" s="34"/>
      <c r="CH35" s="58"/>
      <c r="CM35" s="58"/>
      <c r="CR35" s="58"/>
    </row>
    <row r="36" spans="1:96" ht="11.15" customHeight="1" thickBot="1" x14ac:dyDescent="0.25">
      <c r="A36" s="6"/>
      <c r="F36" s="68"/>
      <c r="K36" s="68"/>
      <c r="P36" s="68"/>
      <c r="U36" s="68"/>
      <c r="Z36" s="68"/>
      <c r="AE36" s="68"/>
      <c r="AJ36" s="68"/>
      <c r="AO36" s="68"/>
      <c r="AT36" s="68"/>
      <c r="AY36" s="68"/>
      <c r="BD36" s="68"/>
      <c r="BI36" s="68"/>
      <c r="BL36" s="52"/>
      <c r="BN36" s="68"/>
      <c r="BQ36" s="52"/>
      <c r="BS36" s="68"/>
      <c r="BV36" s="52"/>
      <c r="BX36" s="68"/>
      <c r="CA36" s="52"/>
      <c r="CC36" s="68"/>
      <c r="CF36" s="52"/>
      <c r="CH36" s="68"/>
      <c r="CM36" s="68"/>
      <c r="CR36" s="68"/>
    </row>
    <row r="37" spans="1:96" ht="11.15" customHeight="1" x14ac:dyDescent="0.2">
      <c r="A37" s="6"/>
    </row>
    <row r="38" spans="1:96" ht="11.15" customHeight="1" x14ac:dyDescent="0.2">
      <c r="A38" s="6"/>
    </row>
    <row r="39" spans="1:96" ht="11.15" customHeight="1" x14ac:dyDescent="0.2">
      <c r="A39" s="6"/>
    </row>
    <row r="40" spans="1:96" ht="11.15" customHeight="1" x14ac:dyDescent="0.2">
      <c r="A40" s="6"/>
    </row>
  </sheetData>
  <mergeCells count="38">
    <mergeCell ref="CN1:CR1"/>
    <mergeCell ref="CN3:CQ3"/>
    <mergeCell ref="CI1:CM1"/>
    <mergeCell ref="CI3:CL3"/>
    <mergeCell ref="AK1:AO1"/>
    <mergeCell ref="AP1:AT1"/>
    <mergeCell ref="BO1:BS1"/>
    <mergeCell ref="BO3:BR3"/>
    <mergeCell ref="AK3:AN3"/>
    <mergeCell ref="AP3:AS3"/>
    <mergeCell ref="CD1:CH1"/>
    <mergeCell ref="CD3:CG3"/>
    <mergeCell ref="AU3:AX3"/>
    <mergeCell ref="AZ3:BC3"/>
    <mergeCell ref="AU1:AY1"/>
    <mergeCell ref="BJ1:BN1"/>
    <mergeCell ref="AF3:AI3"/>
    <mergeCell ref="V1:Z1"/>
    <mergeCell ref="AA1:AE1"/>
    <mergeCell ref="AF1:AJ1"/>
    <mergeCell ref="BE3:BH3"/>
    <mergeCell ref="AZ1:BD1"/>
    <mergeCell ref="BY1:CC1"/>
    <mergeCell ref="BY3:CB3"/>
    <mergeCell ref="BT1:BX1"/>
    <mergeCell ref="BT3:BW3"/>
    <mergeCell ref="B1:F1"/>
    <mergeCell ref="B3:E3"/>
    <mergeCell ref="Q1:U1"/>
    <mergeCell ref="Q3:T3"/>
    <mergeCell ref="G1:K1"/>
    <mergeCell ref="L1:P1"/>
    <mergeCell ref="G3:J3"/>
    <mergeCell ref="L3:O3"/>
    <mergeCell ref="BJ3:BM3"/>
    <mergeCell ref="BE1:BI1"/>
    <mergeCell ref="V3:Y3"/>
    <mergeCell ref="AA3:AD3"/>
  </mergeCells>
  <phoneticPr fontId="5" type="noConversion"/>
  <printOptions horizontalCentered="1"/>
  <pageMargins left="0.25" right="0.25" top="0.75" bottom="0.75" header="0.3" footer="0.3"/>
  <pageSetup paperSize="5" scale="61" orientation="landscape" r:id="rId1"/>
  <headerFooter alignWithMargins="0">
    <oddHeader>&amp;L&amp;G</oddHeader>
  </headerFooter>
  <ignoredErrors>
    <ignoredError sqref="F12:AD12 F34:AD34 BN10:BN14" formula="1"/>
    <ignoredError sqref="AE12:BI12 AE10:BI10 AE34:AN34" formula="1" formulaRange="1"/>
    <ignoredError sqref="AE6:BM9 AE29:BM30 BJ12:BM12 AE11:BM11 BJ10:BM10 AE35:BM36 AE13:BM25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A1:CR71"/>
  <sheetViews>
    <sheetView zoomScale="110" zoomScaleNormal="110" zoomScaleSheetLayoutView="100" workbookViewId="0">
      <pane xSplit="1" ySplit="4" topLeftCell="AY5" activePane="bottomRight" state="frozen"/>
      <selection activeCell="A121" sqref="A121"/>
      <selection pane="topRight" activeCell="A121" sqref="A121"/>
      <selection pane="bottomLeft" activeCell="A121" sqref="A121"/>
      <selection pane="bottomRight" activeCell="CO49" sqref="CO49"/>
    </sheetView>
  </sheetViews>
  <sheetFormatPr defaultColWidth="9.7265625" defaultRowHeight="11.15" customHeight="1" outlineLevelCol="1" x14ac:dyDescent="0.2"/>
  <cols>
    <col min="1" max="1" width="37.453125" style="1" bestFit="1" customWidth="1"/>
    <col min="2" max="5" width="9.7265625" style="1" hidden="1" customWidth="1" outlineLevel="1"/>
    <col min="6" max="6" width="9.7265625" style="1" collapsed="1"/>
    <col min="7" max="10" width="9.7265625" style="1" hidden="1" customWidth="1" outlineLevel="1"/>
    <col min="11" max="11" width="9.7265625" style="1" collapsed="1"/>
    <col min="12" max="15" width="9.7265625" style="1" hidden="1" customWidth="1" outlineLevel="1"/>
    <col min="16" max="16" width="9.7265625" style="1" collapsed="1"/>
    <col min="17" max="20" width="9.7265625" style="1" hidden="1" customWidth="1" outlineLevel="1"/>
    <col min="21" max="21" width="9.7265625" style="1" collapsed="1"/>
    <col min="22" max="25" width="9.7265625" style="1" hidden="1" customWidth="1" outlineLevel="1"/>
    <col min="26" max="26" width="9.7265625" style="1" collapsed="1"/>
    <col min="27" max="30" width="9.7265625" style="1" hidden="1" customWidth="1" outlineLevel="1"/>
    <col min="31" max="31" width="9.7265625" style="1" collapsed="1"/>
    <col min="32" max="35" width="9.7265625" style="1" hidden="1" customWidth="1" outlineLevel="1"/>
    <col min="36" max="36" width="9.7265625" style="1" collapsed="1"/>
    <col min="37" max="40" width="9.7265625" style="1" hidden="1" customWidth="1" outlineLevel="1"/>
    <col min="41" max="41" width="9.7265625" style="1" collapsed="1"/>
    <col min="42" max="45" width="9.7265625" style="1" hidden="1" customWidth="1" outlineLevel="1"/>
    <col min="46" max="46" width="9.7265625" style="1" collapsed="1"/>
    <col min="47" max="50" width="9.7265625" style="1" hidden="1" customWidth="1" outlineLevel="1"/>
    <col min="51" max="51" width="9.7265625" style="1" collapsed="1"/>
    <col min="52" max="55" width="9.7265625" style="1" hidden="1" customWidth="1" outlineLevel="1"/>
    <col min="56" max="56" width="9.7265625" style="1" collapsed="1"/>
    <col min="57" max="60" width="9.7265625" style="1" hidden="1" customWidth="1" outlineLevel="1"/>
    <col min="61" max="61" width="9.7265625" style="1" collapsed="1"/>
    <col min="62" max="65" width="9.7265625" style="1" hidden="1" customWidth="1" outlineLevel="1"/>
    <col min="66" max="66" width="9.7265625" style="1" collapsed="1"/>
    <col min="67" max="70" width="9.7265625" style="1" hidden="1" customWidth="1" outlineLevel="1"/>
    <col min="71" max="71" width="9.7265625" style="1" collapsed="1"/>
    <col min="72" max="75" width="9.7265625" style="1" hidden="1" customWidth="1" outlineLevel="1"/>
    <col min="76" max="76" width="9.7265625" style="1" collapsed="1"/>
    <col min="77" max="80" width="9.7265625" style="1" hidden="1" customWidth="1" outlineLevel="1"/>
    <col min="81" max="81" width="9.7265625" style="1" collapsed="1"/>
    <col min="82" max="85" width="9.7265625" style="1" hidden="1" customWidth="1" outlineLevel="1"/>
    <col min="86" max="86" width="9.7265625" style="1" collapsed="1"/>
    <col min="87" max="87" width="11.54296875" style="1" hidden="1" customWidth="1" outlineLevel="1"/>
    <col min="88" max="90" width="9.7265625" style="1" hidden="1" customWidth="1" outlineLevel="1"/>
    <col min="91" max="91" width="9.7265625" style="1" customWidth="1" collapsed="1"/>
    <col min="92" max="92" width="11.54296875" style="1" customWidth="1" outlineLevel="1"/>
    <col min="93" max="95" width="9.7265625" style="1" customWidth="1" outlineLevel="1"/>
    <col min="96" max="16384" width="9.7265625" style="1"/>
  </cols>
  <sheetData>
    <row r="1" spans="1:96" ht="11.15" customHeight="1" thickBot="1" x14ac:dyDescent="0.3">
      <c r="A1" s="22" t="s">
        <v>44</v>
      </c>
      <c r="B1" s="118" t="s">
        <v>40</v>
      </c>
      <c r="C1" s="119"/>
      <c r="D1" s="119"/>
      <c r="E1" s="119"/>
      <c r="F1" s="120"/>
      <c r="G1" s="118" t="s">
        <v>41</v>
      </c>
      <c r="H1" s="119"/>
      <c r="I1" s="119"/>
      <c r="J1" s="119"/>
      <c r="K1" s="120"/>
      <c r="L1" s="118" t="s">
        <v>42</v>
      </c>
      <c r="M1" s="119"/>
      <c r="N1" s="119"/>
      <c r="O1" s="119"/>
      <c r="P1" s="120"/>
      <c r="Q1" s="118" t="s">
        <v>43</v>
      </c>
      <c r="R1" s="119"/>
      <c r="S1" s="119"/>
      <c r="T1" s="119"/>
      <c r="U1" s="120"/>
      <c r="V1" s="118" t="s">
        <v>11</v>
      </c>
      <c r="W1" s="119"/>
      <c r="X1" s="119"/>
      <c r="Y1" s="119"/>
      <c r="Z1" s="120"/>
      <c r="AA1" s="118" t="s">
        <v>10</v>
      </c>
      <c r="AB1" s="119"/>
      <c r="AC1" s="119"/>
      <c r="AD1" s="119"/>
      <c r="AE1" s="120"/>
      <c r="AF1" s="118" t="s">
        <v>9</v>
      </c>
      <c r="AG1" s="119"/>
      <c r="AH1" s="119"/>
      <c r="AI1" s="119"/>
      <c r="AJ1" s="120"/>
      <c r="AK1" s="118" t="s">
        <v>8</v>
      </c>
      <c r="AL1" s="119"/>
      <c r="AM1" s="119"/>
      <c r="AN1" s="119"/>
      <c r="AO1" s="120"/>
      <c r="AP1" s="118" t="s">
        <v>7</v>
      </c>
      <c r="AQ1" s="119"/>
      <c r="AR1" s="119"/>
      <c r="AS1" s="119"/>
      <c r="AT1" s="120"/>
      <c r="AU1" s="118" t="s">
        <v>6</v>
      </c>
      <c r="AV1" s="119"/>
      <c r="AW1" s="119"/>
      <c r="AX1" s="119"/>
      <c r="AY1" s="120"/>
      <c r="AZ1" s="118" t="s">
        <v>22</v>
      </c>
      <c r="BA1" s="119"/>
      <c r="BB1" s="119"/>
      <c r="BC1" s="119"/>
      <c r="BD1" s="120"/>
      <c r="BE1" s="118" t="s">
        <v>122</v>
      </c>
      <c r="BF1" s="119"/>
      <c r="BG1" s="119"/>
      <c r="BH1" s="119"/>
      <c r="BI1" s="120"/>
      <c r="BJ1" s="118" t="s">
        <v>153</v>
      </c>
      <c r="BK1" s="119"/>
      <c r="BL1" s="119"/>
      <c r="BM1" s="119"/>
      <c r="BN1" s="120"/>
      <c r="BO1" s="118" t="s">
        <v>162</v>
      </c>
      <c r="BP1" s="119"/>
      <c r="BQ1" s="119"/>
      <c r="BR1" s="119"/>
      <c r="BS1" s="120"/>
      <c r="BT1" s="118" t="s">
        <v>215</v>
      </c>
      <c r="BU1" s="119"/>
      <c r="BV1" s="119"/>
      <c r="BW1" s="119"/>
      <c r="BX1" s="120"/>
      <c r="BY1" s="118" t="s">
        <v>221</v>
      </c>
      <c r="BZ1" s="119"/>
      <c r="CA1" s="119"/>
      <c r="CB1" s="119"/>
      <c r="CC1" s="120"/>
      <c r="CD1" s="118" t="s">
        <v>222</v>
      </c>
      <c r="CE1" s="119"/>
      <c r="CF1" s="119"/>
      <c r="CG1" s="119"/>
      <c r="CH1" s="120"/>
      <c r="CI1" s="118" t="s">
        <v>242</v>
      </c>
      <c r="CJ1" s="119"/>
      <c r="CK1" s="119"/>
      <c r="CL1" s="119"/>
      <c r="CM1" s="120"/>
      <c r="CN1" s="118" t="s">
        <v>254</v>
      </c>
      <c r="CO1" s="119"/>
      <c r="CP1" s="119"/>
      <c r="CQ1" s="119"/>
      <c r="CR1" s="120"/>
    </row>
    <row r="2" spans="1:96" ht="11.15" customHeight="1" thickBot="1" x14ac:dyDescent="0.3">
      <c r="A2" s="1" t="s">
        <v>178</v>
      </c>
      <c r="B2" s="2"/>
      <c r="G2" s="2"/>
      <c r="BK2" s="2"/>
      <c r="BP2" s="2"/>
      <c r="BU2" s="2"/>
      <c r="BZ2" s="2"/>
      <c r="CE2" s="2"/>
    </row>
    <row r="3" spans="1:96" ht="11.15" customHeight="1" x14ac:dyDescent="0.25">
      <c r="A3" s="1" t="s">
        <v>39</v>
      </c>
      <c r="B3" s="121" t="s">
        <v>0</v>
      </c>
      <c r="C3" s="121"/>
      <c r="D3" s="121"/>
      <c r="E3" s="121"/>
      <c r="F3" s="56" t="s">
        <v>5</v>
      </c>
      <c r="G3" s="121" t="s">
        <v>0</v>
      </c>
      <c r="H3" s="121"/>
      <c r="I3" s="121"/>
      <c r="J3" s="121"/>
      <c r="K3" s="56" t="s">
        <v>5</v>
      </c>
      <c r="L3" s="121" t="s">
        <v>0</v>
      </c>
      <c r="M3" s="121"/>
      <c r="N3" s="121"/>
      <c r="O3" s="121"/>
      <c r="P3" s="56" t="s">
        <v>5</v>
      </c>
      <c r="Q3" s="121" t="s">
        <v>0</v>
      </c>
      <c r="R3" s="121"/>
      <c r="S3" s="121"/>
      <c r="T3" s="121"/>
      <c r="U3" s="56" t="s">
        <v>5</v>
      </c>
      <c r="V3" s="121" t="s">
        <v>0</v>
      </c>
      <c r="W3" s="121"/>
      <c r="X3" s="121"/>
      <c r="Y3" s="121"/>
      <c r="Z3" s="56" t="s">
        <v>5</v>
      </c>
      <c r="AA3" s="121" t="s">
        <v>0</v>
      </c>
      <c r="AB3" s="121"/>
      <c r="AC3" s="121"/>
      <c r="AD3" s="121"/>
      <c r="AE3" s="56" t="s">
        <v>5</v>
      </c>
      <c r="AF3" s="121" t="s">
        <v>0</v>
      </c>
      <c r="AG3" s="121"/>
      <c r="AH3" s="121"/>
      <c r="AI3" s="121"/>
      <c r="AJ3" s="56" t="s">
        <v>5</v>
      </c>
      <c r="AK3" s="121" t="s">
        <v>0</v>
      </c>
      <c r="AL3" s="121"/>
      <c r="AM3" s="121"/>
      <c r="AN3" s="121"/>
      <c r="AO3" s="56" t="s">
        <v>5</v>
      </c>
      <c r="AP3" s="121" t="s">
        <v>0</v>
      </c>
      <c r="AQ3" s="121"/>
      <c r="AR3" s="121"/>
      <c r="AS3" s="121"/>
      <c r="AT3" s="56" t="s">
        <v>5</v>
      </c>
      <c r="AU3" s="121" t="s">
        <v>0</v>
      </c>
      <c r="AV3" s="121"/>
      <c r="AW3" s="121"/>
      <c r="AX3" s="121"/>
      <c r="AY3" s="56" t="s">
        <v>5</v>
      </c>
      <c r="AZ3" s="121" t="s">
        <v>0</v>
      </c>
      <c r="BA3" s="121"/>
      <c r="BB3" s="121"/>
      <c r="BC3" s="121"/>
      <c r="BD3" s="56" t="s">
        <v>5</v>
      </c>
      <c r="BE3" s="121" t="s">
        <v>0</v>
      </c>
      <c r="BF3" s="121"/>
      <c r="BG3" s="121"/>
      <c r="BH3" s="121"/>
      <c r="BI3" s="56" t="s">
        <v>5</v>
      </c>
      <c r="BJ3" s="121" t="s">
        <v>0</v>
      </c>
      <c r="BK3" s="121"/>
      <c r="BL3" s="121"/>
      <c r="BM3" s="121"/>
      <c r="BN3" s="56" t="s">
        <v>5</v>
      </c>
      <c r="BO3" s="121" t="s">
        <v>0</v>
      </c>
      <c r="BP3" s="121"/>
      <c r="BQ3" s="121"/>
      <c r="BR3" s="121"/>
      <c r="BS3" s="56" t="s">
        <v>5</v>
      </c>
      <c r="BT3" s="121" t="s">
        <v>0</v>
      </c>
      <c r="BU3" s="121"/>
      <c r="BV3" s="121"/>
      <c r="BW3" s="121"/>
      <c r="BX3" s="56" t="s">
        <v>5</v>
      </c>
      <c r="BY3" s="121" t="s">
        <v>0</v>
      </c>
      <c r="BZ3" s="121"/>
      <c r="CA3" s="121"/>
      <c r="CB3" s="121"/>
      <c r="CC3" s="56" t="s">
        <v>5</v>
      </c>
      <c r="CD3" s="121" t="s">
        <v>0</v>
      </c>
      <c r="CE3" s="121"/>
      <c r="CF3" s="121"/>
      <c r="CG3" s="121"/>
      <c r="CH3" s="56" t="s">
        <v>5</v>
      </c>
      <c r="CI3" s="121" t="s">
        <v>0</v>
      </c>
      <c r="CJ3" s="121"/>
      <c r="CK3" s="121"/>
      <c r="CL3" s="121"/>
      <c r="CM3" s="56" t="s">
        <v>5</v>
      </c>
      <c r="CN3" s="121" t="s">
        <v>0</v>
      </c>
      <c r="CO3" s="121"/>
      <c r="CP3" s="121"/>
      <c r="CQ3" s="121"/>
      <c r="CR3" s="56" t="s">
        <v>5</v>
      </c>
    </row>
    <row r="4" spans="1:96" s="2" customFormat="1" ht="11.15" customHeight="1" x14ac:dyDescent="0.25">
      <c r="A4" s="6"/>
      <c r="B4" s="3">
        <v>38807</v>
      </c>
      <c r="C4" s="3">
        <v>38898</v>
      </c>
      <c r="D4" s="3">
        <v>38990</v>
      </c>
      <c r="E4" s="3">
        <v>39082</v>
      </c>
      <c r="F4" s="57">
        <v>39082</v>
      </c>
      <c r="G4" s="3">
        <v>39172</v>
      </c>
      <c r="H4" s="3">
        <v>39263</v>
      </c>
      <c r="I4" s="3">
        <v>39355</v>
      </c>
      <c r="J4" s="3">
        <v>39447</v>
      </c>
      <c r="K4" s="57">
        <v>39447</v>
      </c>
      <c r="L4" s="3">
        <v>39538</v>
      </c>
      <c r="M4" s="3">
        <v>39629</v>
      </c>
      <c r="N4" s="3">
        <v>39721</v>
      </c>
      <c r="O4" s="3">
        <v>39813</v>
      </c>
      <c r="P4" s="57">
        <v>39813</v>
      </c>
      <c r="Q4" s="3">
        <v>39903</v>
      </c>
      <c r="R4" s="3">
        <v>39994</v>
      </c>
      <c r="S4" s="3">
        <v>40086</v>
      </c>
      <c r="T4" s="3">
        <v>40178</v>
      </c>
      <c r="U4" s="57">
        <v>40178</v>
      </c>
      <c r="V4" s="3">
        <v>40268</v>
      </c>
      <c r="W4" s="3">
        <v>40359</v>
      </c>
      <c r="X4" s="3">
        <v>40451</v>
      </c>
      <c r="Y4" s="3">
        <v>40543</v>
      </c>
      <c r="Z4" s="57">
        <v>40543</v>
      </c>
      <c r="AA4" s="3">
        <v>40633</v>
      </c>
      <c r="AB4" s="3">
        <v>40724</v>
      </c>
      <c r="AC4" s="3">
        <v>40816</v>
      </c>
      <c r="AD4" s="3">
        <v>40908</v>
      </c>
      <c r="AE4" s="57">
        <v>40908</v>
      </c>
      <c r="AF4" s="3">
        <v>40999</v>
      </c>
      <c r="AG4" s="3">
        <v>41090</v>
      </c>
      <c r="AH4" s="3">
        <v>41182</v>
      </c>
      <c r="AI4" s="3">
        <v>41274</v>
      </c>
      <c r="AJ4" s="57">
        <v>41274</v>
      </c>
      <c r="AK4" s="3">
        <v>41364</v>
      </c>
      <c r="AL4" s="3">
        <v>41455</v>
      </c>
      <c r="AM4" s="3">
        <v>41547</v>
      </c>
      <c r="AN4" s="3">
        <v>41639</v>
      </c>
      <c r="AO4" s="57">
        <v>41639</v>
      </c>
      <c r="AP4" s="3">
        <v>41729</v>
      </c>
      <c r="AQ4" s="3">
        <v>41820</v>
      </c>
      <c r="AR4" s="3">
        <v>41912</v>
      </c>
      <c r="AS4" s="3">
        <v>42004</v>
      </c>
      <c r="AT4" s="57">
        <v>42004</v>
      </c>
      <c r="AU4" s="3">
        <v>42094</v>
      </c>
      <c r="AV4" s="3">
        <v>42185</v>
      </c>
      <c r="AW4" s="3">
        <v>42277</v>
      </c>
      <c r="AX4" s="3">
        <v>42369</v>
      </c>
      <c r="AY4" s="57">
        <v>42369</v>
      </c>
      <c r="AZ4" s="3">
        <v>42460</v>
      </c>
      <c r="BA4" s="3">
        <v>42551</v>
      </c>
      <c r="BB4" s="3">
        <v>42643</v>
      </c>
      <c r="BC4" s="3">
        <v>42735</v>
      </c>
      <c r="BD4" s="57">
        <v>42735</v>
      </c>
      <c r="BE4" s="3">
        <v>42825</v>
      </c>
      <c r="BF4" s="3">
        <v>42916</v>
      </c>
      <c r="BG4" s="3">
        <v>43008</v>
      </c>
      <c r="BH4" s="3">
        <v>43100</v>
      </c>
      <c r="BI4" s="57">
        <v>43100</v>
      </c>
      <c r="BJ4" s="3">
        <v>43190</v>
      </c>
      <c r="BK4" s="3">
        <v>43281</v>
      </c>
      <c r="BL4" s="3">
        <v>43373</v>
      </c>
      <c r="BM4" s="3">
        <v>43465</v>
      </c>
      <c r="BN4" s="57">
        <v>43465</v>
      </c>
      <c r="BO4" s="3">
        <v>43555</v>
      </c>
      <c r="BP4" s="3">
        <v>43646</v>
      </c>
      <c r="BQ4" s="3">
        <v>43738</v>
      </c>
      <c r="BR4" s="3">
        <v>43830</v>
      </c>
      <c r="BS4" s="57">
        <v>43830</v>
      </c>
      <c r="BT4" s="3">
        <v>43921</v>
      </c>
      <c r="BU4" s="3">
        <v>44012</v>
      </c>
      <c r="BV4" s="3">
        <v>44104</v>
      </c>
      <c r="BW4" s="3">
        <v>44196</v>
      </c>
      <c r="BX4" s="57">
        <v>44196</v>
      </c>
      <c r="BY4" s="3">
        <v>44286</v>
      </c>
      <c r="BZ4" s="3">
        <v>44377</v>
      </c>
      <c r="CA4" s="3">
        <v>44469</v>
      </c>
      <c r="CB4" s="3">
        <v>44561</v>
      </c>
      <c r="CC4" s="57">
        <v>44561</v>
      </c>
      <c r="CD4" s="3">
        <v>44651</v>
      </c>
      <c r="CE4" s="3">
        <v>44742</v>
      </c>
      <c r="CF4" s="3">
        <v>44834</v>
      </c>
      <c r="CG4" s="3">
        <v>44926</v>
      </c>
      <c r="CH4" s="57">
        <v>44926</v>
      </c>
      <c r="CI4" s="3">
        <v>45016</v>
      </c>
      <c r="CJ4" s="3">
        <v>45107</v>
      </c>
      <c r="CK4" s="3">
        <v>45199</v>
      </c>
      <c r="CL4" s="3">
        <v>45291</v>
      </c>
      <c r="CM4" s="57">
        <v>45291</v>
      </c>
      <c r="CN4" s="3">
        <v>45382</v>
      </c>
      <c r="CO4" s="3">
        <v>45473</v>
      </c>
      <c r="CP4" s="3">
        <v>45565</v>
      </c>
      <c r="CQ4" s="3">
        <v>45657</v>
      </c>
      <c r="CR4" s="57">
        <v>45657</v>
      </c>
    </row>
    <row r="5" spans="1:96" s="2" customFormat="1" ht="11.15" customHeight="1" x14ac:dyDescent="0.25">
      <c r="A5" s="35" t="s">
        <v>3</v>
      </c>
      <c r="B5" s="23"/>
      <c r="C5" s="23"/>
      <c r="D5" s="23"/>
      <c r="E5" s="23"/>
      <c r="F5" s="72"/>
      <c r="G5" s="23"/>
      <c r="H5" s="23"/>
      <c r="I5" s="23"/>
      <c r="J5" s="23"/>
      <c r="K5" s="72"/>
      <c r="L5" s="23"/>
      <c r="M5" s="23"/>
      <c r="N5" s="23"/>
      <c r="O5" s="23"/>
      <c r="P5" s="72"/>
      <c r="Q5" s="23"/>
      <c r="R5" s="23"/>
      <c r="S5" s="23"/>
      <c r="T5" s="23"/>
      <c r="U5" s="72"/>
      <c r="V5" s="23"/>
      <c r="W5" s="23"/>
      <c r="X5" s="23"/>
      <c r="Y5" s="23"/>
      <c r="Z5" s="72"/>
      <c r="AA5" s="23"/>
      <c r="AB5" s="23"/>
      <c r="AC5" s="23"/>
      <c r="AD5" s="23"/>
      <c r="AE5" s="72"/>
      <c r="AF5" s="23"/>
      <c r="AG5" s="23"/>
      <c r="AH5" s="23"/>
      <c r="AI5" s="23"/>
      <c r="AJ5" s="72"/>
      <c r="AK5" s="23"/>
      <c r="AL5" s="23"/>
      <c r="AM5" s="23"/>
      <c r="AN5" s="23"/>
      <c r="AO5" s="72"/>
      <c r="AP5" s="23"/>
      <c r="AQ5" s="23"/>
      <c r="AR5" s="23"/>
      <c r="AS5" s="23"/>
      <c r="AT5" s="72"/>
      <c r="AU5" s="23"/>
      <c r="AV5" s="23"/>
      <c r="AW5" s="23"/>
      <c r="AX5" s="23"/>
      <c r="AY5" s="72"/>
      <c r="AZ5" s="23"/>
      <c r="BA5" s="23"/>
      <c r="BB5" s="23"/>
      <c r="BC5" s="23"/>
      <c r="BD5" s="72"/>
      <c r="BE5" s="23"/>
      <c r="BF5" s="23"/>
      <c r="BG5" s="23"/>
      <c r="BH5" s="23"/>
      <c r="BI5" s="72"/>
      <c r="BJ5" s="23"/>
      <c r="BK5" s="23"/>
      <c r="BL5" s="23"/>
      <c r="BM5" s="23"/>
      <c r="BN5" s="72"/>
      <c r="BO5" s="23"/>
      <c r="BP5" s="23"/>
      <c r="BQ5" s="23"/>
      <c r="BR5" s="23"/>
      <c r="BS5" s="72"/>
      <c r="BT5" s="23"/>
      <c r="BU5" s="23"/>
      <c r="BV5" s="23"/>
      <c r="BW5" s="23"/>
      <c r="BX5" s="72"/>
      <c r="BY5" s="23"/>
      <c r="BZ5" s="23"/>
      <c r="CA5" s="23"/>
      <c r="CB5" s="23"/>
      <c r="CC5" s="72"/>
      <c r="CD5" s="23"/>
      <c r="CE5" s="23"/>
      <c r="CF5" s="23"/>
      <c r="CG5" s="23"/>
      <c r="CH5" s="72"/>
      <c r="CM5" s="72"/>
      <c r="CR5" s="72"/>
    </row>
    <row r="6" spans="1:96" s="2" customFormat="1" ht="11.15" customHeight="1" x14ac:dyDescent="0.25">
      <c r="A6" s="6" t="s">
        <v>176</v>
      </c>
      <c r="B6" s="4"/>
      <c r="C6" s="4"/>
      <c r="D6" s="5"/>
      <c r="E6" s="5"/>
      <c r="F6" s="69"/>
      <c r="G6" s="4"/>
      <c r="H6" s="4"/>
      <c r="I6" s="5"/>
      <c r="J6" s="5"/>
      <c r="K6" s="69"/>
      <c r="L6" s="4"/>
      <c r="M6" s="4"/>
      <c r="N6" s="5"/>
      <c r="O6" s="5"/>
      <c r="P6" s="69"/>
      <c r="Q6" s="4"/>
      <c r="R6" s="4"/>
      <c r="S6" s="5"/>
      <c r="T6" s="5"/>
      <c r="U6" s="69"/>
      <c r="V6" s="4"/>
      <c r="W6" s="4"/>
      <c r="X6" s="5"/>
      <c r="Y6" s="5"/>
      <c r="Z6" s="69"/>
      <c r="AA6" s="4"/>
      <c r="AB6" s="4"/>
      <c r="AC6" s="5"/>
      <c r="AD6" s="5"/>
      <c r="AE6" s="69"/>
      <c r="AF6" s="4"/>
      <c r="AG6" s="4"/>
      <c r="AH6" s="5"/>
      <c r="AI6" s="5"/>
      <c r="AJ6" s="69"/>
      <c r="AK6" s="4"/>
      <c r="AL6" s="4"/>
      <c r="AM6" s="5"/>
      <c r="AN6" s="5"/>
      <c r="AO6" s="69"/>
      <c r="AP6" s="4"/>
      <c r="AQ6" s="4"/>
      <c r="AR6" s="5"/>
      <c r="AS6" s="5"/>
      <c r="AT6" s="69"/>
      <c r="AU6" s="4"/>
      <c r="AV6" s="4"/>
      <c r="AW6" s="5"/>
      <c r="AX6" s="5"/>
      <c r="AY6" s="69"/>
      <c r="AZ6" s="4"/>
      <c r="BA6" s="4"/>
      <c r="BB6" s="5"/>
      <c r="BC6" s="5"/>
      <c r="BD6" s="69"/>
      <c r="BE6" s="4"/>
      <c r="BF6" s="4"/>
      <c r="BG6" s="5"/>
      <c r="BH6" s="5"/>
      <c r="BI6" s="69"/>
      <c r="BJ6" s="4"/>
      <c r="BK6" s="4"/>
      <c r="BL6" s="5"/>
      <c r="BM6" s="5"/>
      <c r="BN6" s="69"/>
      <c r="BO6" s="4"/>
      <c r="BP6" s="4"/>
      <c r="BQ6" s="5"/>
      <c r="BR6" s="5"/>
      <c r="BS6" s="69"/>
      <c r="BT6" s="4"/>
      <c r="BU6" s="4"/>
      <c r="BV6" s="5"/>
      <c r="BW6" s="5"/>
      <c r="BX6" s="69"/>
      <c r="BY6" s="4"/>
      <c r="BZ6" s="4"/>
      <c r="CA6" s="5"/>
      <c r="CB6" s="5"/>
      <c r="CC6" s="69"/>
      <c r="CD6" s="4"/>
      <c r="CE6" s="4"/>
      <c r="CF6" s="5"/>
      <c r="CG6" s="5"/>
      <c r="CH6" s="69"/>
      <c r="CM6" s="69"/>
      <c r="CR6" s="69"/>
    </row>
    <row r="7" spans="1:96" s="2" customFormat="1" ht="11.15" customHeight="1" x14ac:dyDescent="0.25">
      <c r="A7" s="7" t="s">
        <v>4</v>
      </c>
      <c r="B7" s="8"/>
      <c r="C7" s="8">
        <f>'Cash Flows Cumulative'!C57</f>
        <v>11282</v>
      </c>
      <c r="D7" s="8">
        <f>'Cash Flows Cumulative'!D57</f>
        <v>11357</v>
      </c>
      <c r="E7" s="8">
        <f>'Cash Flows Cumulative'!E57</f>
        <v>75667</v>
      </c>
      <c r="F7" s="58">
        <f t="shared" ref="F7:F13" si="0">E7</f>
        <v>75667</v>
      </c>
      <c r="G7" s="8">
        <f>'Cash Flows Cumulative'!G57</f>
        <v>49129</v>
      </c>
      <c r="H7" s="8">
        <f>'Cash Flows Cumulative'!H57</f>
        <v>46709</v>
      </c>
      <c r="I7" s="8">
        <f>'Cash Flows Cumulative'!I57</f>
        <v>44750</v>
      </c>
      <c r="J7" s="8">
        <f>'Cash Flows Cumulative'!J57</f>
        <v>37972</v>
      </c>
      <c r="K7" s="58">
        <f t="shared" ref="K7:K13" si="1">J7</f>
        <v>37972</v>
      </c>
      <c r="L7" s="8">
        <f>'Cash Flows Cumulative'!L57</f>
        <v>38698</v>
      </c>
      <c r="M7" s="8">
        <f>'Cash Flows Cumulative'!M57</f>
        <v>44926</v>
      </c>
      <c r="N7" s="8">
        <f>'Cash Flows Cumulative'!N57</f>
        <v>44339</v>
      </c>
      <c r="O7" s="8">
        <f>'Cash Flows Cumulative'!O57</f>
        <v>51283</v>
      </c>
      <c r="P7" s="58">
        <f t="shared" ref="P7:P13" si="2">O7</f>
        <v>51283</v>
      </c>
      <c r="Q7" s="8">
        <f>'Cash Flows Cumulative'!Q57</f>
        <v>71601</v>
      </c>
      <c r="R7" s="8">
        <f>'Cash Flows Cumulative'!R57</f>
        <v>78068</v>
      </c>
      <c r="S7" s="8">
        <f>'Cash Flows Cumulative'!S57</f>
        <v>76309</v>
      </c>
      <c r="T7" s="8">
        <f>'Cash Flows Cumulative'!T57</f>
        <v>82920</v>
      </c>
      <c r="U7" s="58">
        <f t="shared" ref="U7:U13" si="3">T7</f>
        <v>82920</v>
      </c>
      <c r="V7" s="8">
        <f>'Cash Flows Cumulative'!V57</f>
        <v>84407</v>
      </c>
      <c r="W7" s="8">
        <f>'Cash Flows Cumulative'!W57</f>
        <v>90655</v>
      </c>
      <c r="X7" s="8">
        <f>'Cash Flows Cumulative'!X57</f>
        <v>96630</v>
      </c>
      <c r="Y7" s="8">
        <f>'Cash Flows Cumulative'!Y57</f>
        <v>147860</v>
      </c>
      <c r="Z7" s="58">
        <f t="shared" ref="Z7:Z13" si="4">Y7</f>
        <v>147860</v>
      </c>
      <c r="AA7" s="8">
        <f>'Cash Flows Cumulative'!AA57</f>
        <v>160618</v>
      </c>
      <c r="AB7" s="8">
        <f>'Cash Flows Cumulative'!AB57</f>
        <v>188196</v>
      </c>
      <c r="AC7" s="8">
        <f>'Cash Flows Cumulative'!AC57</f>
        <v>196586</v>
      </c>
      <c r="AD7" s="8">
        <f>'Cash Flows Cumulative'!AD57</f>
        <v>180234</v>
      </c>
      <c r="AE7" s="58">
        <f t="shared" ref="AE7:AE13" si="5">AD7</f>
        <v>180234</v>
      </c>
      <c r="AF7" s="8">
        <f>'Cash Flows Cumulative'!AF57</f>
        <v>377071</v>
      </c>
      <c r="AG7" s="8">
        <f>'Cash Flows Cumulative'!AG57</f>
        <v>345578</v>
      </c>
      <c r="AH7" s="8">
        <f>'Cash Flows Cumulative'!AH57</f>
        <v>372569</v>
      </c>
      <c r="AI7" s="8">
        <f>'Cash Flows Cumulative'!AI57</f>
        <v>384053</v>
      </c>
      <c r="AJ7" s="58">
        <f t="shared" ref="AJ7:AJ13" si="6">AI7</f>
        <v>384053</v>
      </c>
      <c r="AK7" s="8">
        <f>'Cash Flows Cumulative'!AK57</f>
        <v>355715</v>
      </c>
      <c r="AL7" s="8">
        <f>'Cash Flows Cumulative'!AL57</f>
        <v>369484</v>
      </c>
      <c r="AM7" s="8">
        <f>'Cash Flows Cumulative'!AM57</f>
        <v>398355</v>
      </c>
      <c r="AN7" s="8">
        <f>'Cash Flows Cumulative'!AN57</f>
        <v>448776</v>
      </c>
      <c r="AO7" s="58">
        <f>AN7</f>
        <v>448776</v>
      </c>
      <c r="AP7" s="8">
        <f>'Cash Flows Cumulative'!AP57</f>
        <v>480609</v>
      </c>
      <c r="AQ7" s="8">
        <f>'Cash Flows Cumulative'!AQ57</f>
        <v>483432</v>
      </c>
      <c r="AR7" s="8">
        <f>'Cash Flows Cumulative'!AR57</f>
        <v>487518</v>
      </c>
      <c r="AS7" s="8">
        <f>'Cash Flows Cumulative'!AS57</f>
        <v>522150</v>
      </c>
      <c r="AT7" s="58">
        <f>AS7</f>
        <v>522150</v>
      </c>
      <c r="AU7" s="8">
        <f>'Cash Flows Cumulative'!AU57</f>
        <v>541474</v>
      </c>
      <c r="AV7" s="8">
        <f>'Cash Flows Cumulative'!AV57</f>
        <v>571508</v>
      </c>
      <c r="AW7" s="8">
        <f>'Cash Flows Cumulative'!AW57</f>
        <v>651220</v>
      </c>
      <c r="AX7" s="8">
        <f>'Cash Flows Cumulative'!AX57</f>
        <v>582532</v>
      </c>
      <c r="AY7" s="58">
        <f>AX7</f>
        <v>582532</v>
      </c>
      <c r="AZ7" s="8">
        <f>'Cash Flows Cumulative'!AZ57</f>
        <v>613692</v>
      </c>
      <c r="BA7" s="8">
        <f>'Cash Flows Cumulative'!BA57</f>
        <v>587286</v>
      </c>
      <c r="BB7" s="8">
        <f>'Cash Flows Cumulative'!BB57</f>
        <v>645558</v>
      </c>
      <c r="BC7" s="8">
        <f>'Cash Flows Cumulative'!BC57</f>
        <v>623855</v>
      </c>
      <c r="BD7" s="58">
        <f>BC7</f>
        <v>623855</v>
      </c>
      <c r="BE7" s="8">
        <f>'Cash Flows Cumulative'!BE57</f>
        <v>697778</v>
      </c>
      <c r="BF7" s="8">
        <f>'Cash Flows Cumulative'!BF57</f>
        <v>808111</v>
      </c>
      <c r="BG7" s="8">
        <f>'Cash Flows Cumulative'!BG57</f>
        <v>880267</v>
      </c>
      <c r="BH7" s="8">
        <f>'Cash Flows Cumulative'!BH57</f>
        <v>909900</v>
      </c>
      <c r="BI7" s="58">
        <f>BH7</f>
        <v>909900</v>
      </c>
      <c r="BJ7" s="8">
        <f>'Cash Flows Cumulative'!BJ57</f>
        <v>969123</v>
      </c>
      <c r="BK7" s="8">
        <f>'Cash Flows Cumulative'!BK57</f>
        <v>816792</v>
      </c>
      <c r="BL7" s="8">
        <f>'Cash Flows Cumulative'!BL57</f>
        <v>647606</v>
      </c>
      <c r="BM7" s="8">
        <f>'Cash Flows Cumulative'!BM57</f>
        <v>544358</v>
      </c>
      <c r="BN7" s="58">
        <f>BM7</f>
        <v>544358</v>
      </c>
      <c r="BO7" s="8">
        <f>'Cash Flows Cumulative'!BO57</f>
        <v>548938</v>
      </c>
      <c r="BP7" s="8">
        <f>'Cash Flows Cumulative'!BP57</f>
        <v>530013</v>
      </c>
      <c r="BQ7" s="8">
        <f>'Cash Flows Cumulative'!BQ57</f>
        <v>580329</v>
      </c>
      <c r="BR7" s="8">
        <f>'Cash Flows Cumulative'!BR57</f>
        <v>680070</v>
      </c>
      <c r="BS7" s="58">
        <f>BR7</f>
        <v>680070</v>
      </c>
      <c r="BT7" s="8">
        <f>'Cash Flows Cumulative'!BT57</f>
        <v>570058</v>
      </c>
      <c r="BU7" s="8">
        <f>'Cash Flows Cumulative'!BU57</f>
        <v>747859</v>
      </c>
      <c r="BV7" s="8">
        <v>763920</v>
      </c>
      <c r="BW7" s="8">
        <f>'Cash Flows Cumulative'!BW57</f>
        <v>876231</v>
      </c>
      <c r="BX7" s="58">
        <f>BW7</f>
        <v>876231</v>
      </c>
      <c r="BY7" s="8">
        <f>'Cash Flows Cumulative'!BY57</f>
        <v>896741</v>
      </c>
      <c r="BZ7" s="8">
        <f>'Cash Flows Cumulative'!BZ57</f>
        <v>754199</v>
      </c>
      <c r="CA7" s="8">
        <f>'Cash Flows Cumulative'!CA57</f>
        <v>794904</v>
      </c>
      <c r="CB7" s="8">
        <f>'Cash Flows Cumulative'!CB57</f>
        <v>709105</v>
      </c>
      <c r="CC7" s="58">
        <f>CB7</f>
        <v>709105</v>
      </c>
      <c r="CD7" s="8">
        <f>'Cash Flows Cumulative'!CD57</f>
        <v>642517</v>
      </c>
      <c r="CE7" s="8">
        <f>'Cash Flows Cumulative'!CE57</f>
        <v>771788</v>
      </c>
      <c r="CF7" s="8">
        <f>'Cash Flows Cumulative'!CF57</f>
        <v>869274</v>
      </c>
      <c r="CG7" s="8">
        <f>'Cash Flows Cumulative'!CG57</f>
        <v>698209</v>
      </c>
      <c r="CH7" s="58">
        <f>CG7</f>
        <v>698209</v>
      </c>
      <c r="CI7" s="8">
        <f>'Cash Flows Cumulative'!CI57</f>
        <v>521137</v>
      </c>
      <c r="CJ7" s="8">
        <f>'Cash Flows Cumulative'!CJ57</f>
        <v>573071</v>
      </c>
      <c r="CK7" s="8">
        <f>'Cash Flows Cumulative'!CK57</f>
        <v>528284</v>
      </c>
      <c r="CL7" s="8">
        <f>'Cash Flows Cumulative'!CL57</f>
        <v>514674</v>
      </c>
      <c r="CM7" s="58">
        <f>CL7</f>
        <v>514674</v>
      </c>
      <c r="CN7" s="8">
        <f>'Cash Flows Cumulative'!CN57</f>
        <v>496452</v>
      </c>
      <c r="CO7" s="8">
        <f>'Cash Flows Cumulative'!CO57</f>
        <v>720540</v>
      </c>
      <c r="CP7" s="8">
        <f>'Cash Flows Cumulative'!CP57</f>
        <v>0</v>
      </c>
      <c r="CQ7" s="8">
        <f>'Cash Flows Cumulative'!CQ57</f>
        <v>0</v>
      </c>
      <c r="CR7" s="58">
        <f>CQ7</f>
        <v>0</v>
      </c>
    </row>
    <row r="8" spans="1:96" ht="11.15" customHeight="1" x14ac:dyDescent="0.2">
      <c r="A8" s="7" t="s">
        <v>28</v>
      </c>
      <c r="B8" s="11"/>
      <c r="C8" s="36">
        <v>0</v>
      </c>
      <c r="D8" s="36">
        <v>0</v>
      </c>
      <c r="E8" s="36">
        <v>0</v>
      </c>
      <c r="F8" s="61">
        <f t="shared" si="0"/>
        <v>0</v>
      </c>
      <c r="G8" s="36">
        <v>0</v>
      </c>
      <c r="H8" s="36">
        <v>0</v>
      </c>
      <c r="I8" s="36">
        <v>0</v>
      </c>
      <c r="J8" s="36">
        <v>6950</v>
      </c>
      <c r="K8" s="61">
        <f t="shared" si="1"/>
        <v>6950</v>
      </c>
      <c r="L8" s="36">
        <v>1000</v>
      </c>
      <c r="M8" s="36">
        <v>0</v>
      </c>
      <c r="N8" s="36">
        <v>0</v>
      </c>
      <c r="O8" s="36">
        <v>0</v>
      </c>
      <c r="P8" s="61">
        <f t="shared" si="2"/>
        <v>0</v>
      </c>
      <c r="Q8" s="36">
        <v>0</v>
      </c>
      <c r="R8" s="36">
        <v>0</v>
      </c>
      <c r="S8" s="36">
        <v>0</v>
      </c>
      <c r="T8" s="36">
        <v>0</v>
      </c>
      <c r="U8" s="61">
        <f t="shared" si="3"/>
        <v>0</v>
      </c>
      <c r="V8" s="36">
        <v>0</v>
      </c>
      <c r="W8" s="36">
        <v>0</v>
      </c>
      <c r="X8" s="36">
        <v>0</v>
      </c>
      <c r="Y8" s="36">
        <v>0</v>
      </c>
      <c r="Z8" s="61">
        <f t="shared" si="4"/>
        <v>0</v>
      </c>
      <c r="AA8" s="36">
        <v>0</v>
      </c>
      <c r="AB8" s="36">
        <v>0</v>
      </c>
      <c r="AC8" s="36">
        <v>0</v>
      </c>
      <c r="AD8" s="36">
        <v>25451</v>
      </c>
      <c r="AE8" s="61">
        <f t="shared" si="5"/>
        <v>25451</v>
      </c>
      <c r="AF8" s="36">
        <v>18451</v>
      </c>
      <c r="AG8" s="36">
        <v>9765</v>
      </c>
      <c r="AH8" s="36">
        <v>0</v>
      </c>
      <c r="AI8" s="36">
        <v>0</v>
      </c>
      <c r="AJ8" s="61">
        <f t="shared" si="6"/>
        <v>0</v>
      </c>
      <c r="AK8" s="36">
        <v>0</v>
      </c>
      <c r="AL8" s="36">
        <v>0</v>
      </c>
      <c r="AM8" s="36">
        <v>0</v>
      </c>
      <c r="AN8" s="36">
        <v>0</v>
      </c>
      <c r="AO8" s="61">
        <f>AN8</f>
        <v>0</v>
      </c>
      <c r="AP8" s="36">
        <v>0</v>
      </c>
      <c r="AQ8" s="36">
        <v>0</v>
      </c>
      <c r="AR8" s="36">
        <v>0</v>
      </c>
      <c r="AS8" s="36">
        <v>0</v>
      </c>
      <c r="AT8" s="61">
        <f>AS8</f>
        <v>0</v>
      </c>
      <c r="AU8" s="36">
        <v>0</v>
      </c>
      <c r="AV8" s="36">
        <v>0</v>
      </c>
      <c r="AW8" s="36">
        <v>0</v>
      </c>
      <c r="AX8" s="36">
        <v>106584</v>
      </c>
      <c r="AY8" s="61">
        <f>AX8</f>
        <v>106584</v>
      </c>
      <c r="AZ8" s="36">
        <v>126273</v>
      </c>
      <c r="BA8" s="36">
        <v>126794</v>
      </c>
      <c r="BB8" s="36">
        <v>126970</v>
      </c>
      <c r="BC8" s="36">
        <v>206779</v>
      </c>
      <c r="BD8" s="61">
        <f>BC8</f>
        <v>206779</v>
      </c>
      <c r="BE8" s="36">
        <v>165025</v>
      </c>
      <c r="BF8" s="36">
        <v>122304</v>
      </c>
      <c r="BG8" s="36">
        <v>165655</v>
      </c>
      <c r="BH8" s="36">
        <v>206257</v>
      </c>
      <c r="BI8" s="61">
        <f>BH8</f>
        <v>206257</v>
      </c>
      <c r="BJ8" s="36">
        <v>206786</v>
      </c>
      <c r="BK8" s="36">
        <v>308970</v>
      </c>
      <c r="BL8" s="36">
        <v>474422</v>
      </c>
      <c r="BM8" s="36">
        <v>500432</v>
      </c>
      <c r="BN8" s="61">
        <f>BM8</f>
        <v>500432</v>
      </c>
      <c r="BO8" s="36">
        <v>481139</v>
      </c>
      <c r="BP8" s="36">
        <v>512816</v>
      </c>
      <c r="BQ8" s="36">
        <v>498508</v>
      </c>
      <c r="BR8" s="36">
        <v>502546</v>
      </c>
      <c r="BS8" s="61">
        <f>BR8</f>
        <v>502546</v>
      </c>
      <c r="BT8" s="36">
        <v>625085</v>
      </c>
      <c r="BU8" s="36">
        <v>501040</v>
      </c>
      <c r="BV8" s="36">
        <v>537696</v>
      </c>
      <c r="BW8" s="36">
        <v>514835</v>
      </c>
      <c r="BX8" s="61">
        <f>BW8</f>
        <v>514835</v>
      </c>
      <c r="BY8" s="36">
        <v>548196</v>
      </c>
      <c r="BZ8" s="36">
        <v>743210</v>
      </c>
      <c r="CA8" s="36">
        <v>724103</v>
      </c>
      <c r="CB8" s="36">
        <v>805400</v>
      </c>
      <c r="CC8" s="61">
        <f>CB8</f>
        <v>805400</v>
      </c>
      <c r="CD8" s="36">
        <v>774161</v>
      </c>
      <c r="CE8" s="36">
        <v>462865</v>
      </c>
      <c r="CF8" s="36">
        <v>365409</v>
      </c>
      <c r="CG8" s="36">
        <v>479374</v>
      </c>
      <c r="CH8" s="61">
        <f>CG8</f>
        <v>479374</v>
      </c>
      <c r="CI8" s="36">
        <v>548473</v>
      </c>
      <c r="CJ8" s="36">
        <v>523341</v>
      </c>
      <c r="CK8" s="36">
        <v>605207</v>
      </c>
      <c r="CL8" s="36">
        <v>662807</v>
      </c>
      <c r="CM8" s="61">
        <f>CL8</f>
        <v>662807</v>
      </c>
      <c r="CN8" s="36">
        <v>643655</v>
      </c>
      <c r="CO8" s="36">
        <v>343363</v>
      </c>
      <c r="CP8" s="36"/>
      <c r="CQ8" s="36"/>
      <c r="CR8" s="61">
        <f>CQ8</f>
        <v>0</v>
      </c>
    </row>
    <row r="9" spans="1:96" ht="11.15" customHeight="1" x14ac:dyDescent="0.2">
      <c r="A9" s="7" t="s">
        <v>52</v>
      </c>
      <c r="B9" s="11"/>
      <c r="C9" s="36">
        <v>18131</v>
      </c>
      <c r="D9" s="36">
        <v>22459</v>
      </c>
      <c r="E9" s="36">
        <v>22353</v>
      </c>
      <c r="F9" s="61">
        <f t="shared" si="0"/>
        <v>22353</v>
      </c>
      <c r="G9" s="36">
        <v>24413</v>
      </c>
      <c r="H9" s="36">
        <v>26726</v>
      </c>
      <c r="I9" s="36">
        <v>33277</v>
      </c>
      <c r="J9" s="36">
        <v>33946</v>
      </c>
      <c r="K9" s="61">
        <f t="shared" si="1"/>
        <v>33946</v>
      </c>
      <c r="L9" s="36">
        <v>37269</v>
      </c>
      <c r="M9" s="36">
        <v>37747</v>
      </c>
      <c r="N9" s="36">
        <v>39503</v>
      </c>
      <c r="O9" s="36">
        <v>41842</v>
      </c>
      <c r="P9" s="61">
        <f t="shared" si="2"/>
        <v>41842</v>
      </c>
      <c r="Q9" s="36">
        <v>29740</v>
      </c>
      <c r="R9" s="36">
        <v>32006</v>
      </c>
      <c r="S9" s="36">
        <v>29768</v>
      </c>
      <c r="T9" s="36">
        <v>30356</v>
      </c>
      <c r="U9" s="61">
        <f t="shared" si="3"/>
        <v>30356</v>
      </c>
      <c r="V9" s="36">
        <v>30078</v>
      </c>
      <c r="W9" s="36">
        <v>39907</v>
      </c>
      <c r="X9" s="36">
        <v>53720</v>
      </c>
      <c r="Y9" s="36">
        <v>55399</v>
      </c>
      <c r="Z9" s="61">
        <f t="shared" si="4"/>
        <v>55399</v>
      </c>
      <c r="AA9" s="36">
        <v>57970</v>
      </c>
      <c r="AB9" s="36">
        <v>73284</v>
      </c>
      <c r="AC9" s="36">
        <v>80361</v>
      </c>
      <c r="AD9" s="36">
        <v>75755</v>
      </c>
      <c r="AE9" s="61">
        <f t="shared" si="5"/>
        <v>75755</v>
      </c>
      <c r="AF9" s="36">
        <v>88426</v>
      </c>
      <c r="AG9" s="36">
        <v>86132</v>
      </c>
      <c r="AH9" s="36">
        <v>110649</v>
      </c>
      <c r="AI9" s="36">
        <v>96630</v>
      </c>
      <c r="AJ9" s="61">
        <f t="shared" si="6"/>
        <v>96630</v>
      </c>
      <c r="AK9" s="36">
        <v>102793</v>
      </c>
      <c r="AL9" s="36">
        <v>114498</v>
      </c>
      <c r="AM9" s="36">
        <v>120640</v>
      </c>
      <c r="AN9" s="36">
        <v>103803</v>
      </c>
      <c r="AO9" s="61">
        <f t="shared" ref="AO9:AO15" si="7">AN9</f>
        <v>103803</v>
      </c>
      <c r="AP9" s="36">
        <v>107598</v>
      </c>
      <c r="AQ9" s="36">
        <v>124144</v>
      </c>
      <c r="AR9" s="36">
        <v>136629</v>
      </c>
      <c r="AS9" s="36">
        <v>143109</v>
      </c>
      <c r="AT9" s="61">
        <f t="shared" ref="AT9:AT15" si="8">AS9</f>
        <v>143109</v>
      </c>
      <c r="AU9" s="36">
        <v>149781</v>
      </c>
      <c r="AV9" s="36">
        <v>169828</v>
      </c>
      <c r="AW9" s="36">
        <v>154814</v>
      </c>
      <c r="AX9" s="36">
        <v>150479</v>
      </c>
      <c r="AY9" s="61">
        <f t="shared" ref="AY9:AY15" si="9">AX9</f>
        <v>150479</v>
      </c>
      <c r="AZ9" s="36">
        <v>146505</v>
      </c>
      <c r="BA9" s="36">
        <v>151476</v>
      </c>
      <c r="BB9" s="36">
        <v>162725</v>
      </c>
      <c r="BC9" s="36">
        <v>155901</v>
      </c>
      <c r="BD9" s="61">
        <f t="shared" ref="BD9:BD15" si="10">BC9</f>
        <v>155901</v>
      </c>
      <c r="BE9" s="36">
        <v>180226</v>
      </c>
      <c r="BF9" s="36">
        <v>237332</v>
      </c>
      <c r="BG9" s="36">
        <v>226756</v>
      </c>
      <c r="BH9" s="36">
        <v>237278</v>
      </c>
      <c r="BI9" s="61">
        <f t="shared" ref="BI9:BI15" si="11">BH9</f>
        <v>237278</v>
      </c>
      <c r="BJ9" s="36">
        <v>235477</v>
      </c>
      <c r="BK9" s="36">
        <v>242128</v>
      </c>
      <c r="BL9" s="36">
        <v>251613</v>
      </c>
      <c r="BM9" s="36">
        <v>255509</v>
      </c>
      <c r="BN9" s="61">
        <f t="shared" ref="BN9:BN15" si="12">BM9</f>
        <v>255509</v>
      </c>
      <c r="BO9" s="36">
        <v>231850</v>
      </c>
      <c r="BP9" s="36">
        <v>273697</v>
      </c>
      <c r="BQ9" s="36">
        <v>252926</v>
      </c>
      <c r="BR9" s="36">
        <v>238479</v>
      </c>
      <c r="BS9" s="61">
        <f t="shared" ref="BS9" si="13">BR9</f>
        <v>238479</v>
      </c>
      <c r="BT9" s="36">
        <v>200646</v>
      </c>
      <c r="BU9" s="36">
        <v>203568</v>
      </c>
      <c r="BV9" s="36">
        <v>240352</v>
      </c>
      <c r="BW9" s="36">
        <v>264321</v>
      </c>
      <c r="BX9" s="61">
        <f t="shared" ref="BX9" si="14">BW9</f>
        <v>264321</v>
      </c>
      <c r="BY9" s="36">
        <v>252877</v>
      </c>
      <c r="BZ9" s="36">
        <v>250669</v>
      </c>
      <c r="CA9" s="36">
        <v>272699</v>
      </c>
      <c r="CB9" s="36">
        <v>262121</v>
      </c>
      <c r="CC9" s="61">
        <f t="shared" ref="CC9" si="15">CB9</f>
        <v>262121</v>
      </c>
      <c r="CD9" s="36">
        <v>257464</v>
      </c>
      <c r="CE9" s="36">
        <v>246877</v>
      </c>
      <c r="CF9" s="36">
        <v>195194</v>
      </c>
      <c r="CG9" s="36">
        <v>211347</v>
      </c>
      <c r="CH9" s="61">
        <f t="shared" ref="CH9" si="16">CG9</f>
        <v>211347</v>
      </c>
      <c r="CI9" s="36">
        <v>236575</v>
      </c>
      <c r="CJ9" s="36">
        <v>231125</v>
      </c>
      <c r="CK9" s="36">
        <v>229597</v>
      </c>
      <c r="CL9" s="36">
        <v>219053</v>
      </c>
      <c r="CM9" s="61">
        <f t="shared" ref="CM9" si="17">CL9</f>
        <v>219053</v>
      </c>
      <c r="CN9" s="36">
        <v>184012</v>
      </c>
      <c r="CO9" s="36">
        <v>176153</v>
      </c>
      <c r="CP9" s="36"/>
      <c r="CQ9" s="36"/>
      <c r="CR9" s="61">
        <f t="shared" ref="CR9" si="18">CQ9</f>
        <v>0</v>
      </c>
    </row>
    <row r="10" spans="1:96" ht="11.15" customHeight="1" x14ac:dyDescent="0.2">
      <c r="A10" s="7" t="s">
        <v>53</v>
      </c>
      <c r="B10" s="11"/>
      <c r="C10" s="11">
        <f>SUM(C11:C13)</f>
        <v>34759</v>
      </c>
      <c r="D10" s="11">
        <f>SUM(D11:D13)</f>
        <v>40367</v>
      </c>
      <c r="E10" s="11">
        <f>SUM(E11:E13)</f>
        <v>42162</v>
      </c>
      <c r="F10" s="61">
        <f t="shared" si="0"/>
        <v>42162</v>
      </c>
      <c r="G10" s="11">
        <f>SUM(G11:G13)</f>
        <v>45167</v>
      </c>
      <c r="H10" s="11">
        <f>SUM(H11:H13)</f>
        <v>52691</v>
      </c>
      <c r="I10" s="11">
        <f>SUM(I11:I13)</f>
        <v>58850</v>
      </c>
      <c r="J10" s="11">
        <f>SUM(J11:J13)</f>
        <v>60412</v>
      </c>
      <c r="K10" s="61">
        <f t="shared" si="1"/>
        <v>60412</v>
      </c>
      <c r="L10" s="11">
        <f>SUM(L11:L13)</f>
        <v>69630</v>
      </c>
      <c r="M10" s="11">
        <f>SUM(M11:M13)</f>
        <v>76574</v>
      </c>
      <c r="N10" s="11">
        <f>SUM(N11:N13)</f>
        <v>72797</v>
      </c>
      <c r="O10" s="11">
        <f>SUM(O11:O13)</f>
        <v>72555</v>
      </c>
      <c r="P10" s="61">
        <f t="shared" si="2"/>
        <v>72555</v>
      </c>
      <c r="Q10" s="11">
        <f>SUM(Q11:Q13)</f>
        <v>66445</v>
      </c>
      <c r="R10" s="11">
        <f>SUM(R11:R13)</f>
        <v>62085</v>
      </c>
      <c r="S10" s="11">
        <f>SUM(S11:S13)</f>
        <v>59155</v>
      </c>
      <c r="T10" s="11">
        <f>SUM(T11:T13)</f>
        <v>52869</v>
      </c>
      <c r="U10" s="61">
        <f t="shared" si="3"/>
        <v>52869</v>
      </c>
      <c r="V10" s="11">
        <f>SUM(V11:V13)</f>
        <v>52135</v>
      </c>
      <c r="W10" s="11">
        <f>SUM(W11:W13)</f>
        <v>54029</v>
      </c>
      <c r="X10" s="11">
        <f>SUM(X11:X13)</f>
        <v>64898</v>
      </c>
      <c r="Y10" s="11">
        <f>SUM(Y11:Y13)</f>
        <v>72470</v>
      </c>
      <c r="Z10" s="61">
        <f t="shared" si="4"/>
        <v>72470</v>
      </c>
      <c r="AA10" s="11">
        <f>SUM(AA11:AA13)</f>
        <v>88698</v>
      </c>
      <c r="AB10" s="11">
        <f>SUM(AB11:AB13)</f>
        <v>109273</v>
      </c>
      <c r="AC10" s="11">
        <f>SUM(AC11:AC13)</f>
        <v>117276</v>
      </c>
      <c r="AD10" s="11">
        <f>SUM(AD11:AD13)</f>
        <v>116978</v>
      </c>
      <c r="AE10" s="61">
        <f t="shared" si="5"/>
        <v>116978</v>
      </c>
      <c r="AF10" s="11">
        <f>SUM(AF11:AF13)</f>
        <v>123430</v>
      </c>
      <c r="AG10" s="11">
        <f>SUM(AG11:AG13)</f>
        <v>121979</v>
      </c>
      <c r="AH10" s="11">
        <f>SUM(AH11:AH13)</f>
        <v>135121</v>
      </c>
      <c r="AI10" s="11">
        <f>SUM(AI11:AI13)</f>
        <v>139618</v>
      </c>
      <c r="AJ10" s="61">
        <f t="shared" si="6"/>
        <v>139618</v>
      </c>
      <c r="AK10" s="11">
        <f>SUM(AK11:AK13)</f>
        <v>142096</v>
      </c>
      <c r="AL10" s="11">
        <f>SUM(AL11:AL13)</f>
        <v>154093</v>
      </c>
      <c r="AM10" s="11">
        <f>SUM(AM11:AM13)</f>
        <v>171268</v>
      </c>
      <c r="AN10" s="11">
        <f>SUM(AN11:AN13)</f>
        <v>172700</v>
      </c>
      <c r="AO10" s="61">
        <f>AN10</f>
        <v>172700</v>
      </c>
      <c r="AP10" s="11">
        <f>SUM(AP11:AP13)</f>
        <v>170556</v>
      </c>
      <c r="AQ10" s="11">
        <f>SUM(AQ11:AQ13)</f>
        <v>178925</v>
      </c>
      <c r="AR10" s="11">
        <f>SUM(AR11:AR13)</f>
        <v>179476</v>
      </c>
      <c r="AS10" s="11">
        <f>SUM(AS11:AS13)</f>
        <v>171009</v>
      </c>
      <c r="AT10" s="61">
        <f>AS10</f>
        <v>171009</v>
      </c>
      <c r="AU10" s="11">
        <f>SUM(AU11:AU13)</f>
        <v>174140</v>
      </c>
      <c r="AV10" s="11">
        <f>SUM(AV11:AV13)</f>
        <v>190848</v>
      </c>
      <c r="AW10" s="11">
        <f>SUM(AW11:AW13)</f>
        <v>197635</v>
      </c>
      <c r="AX10" s="11">
        <f>SUM(AX11:AX13)</f>
        <v>203738</v>
      </c>
      <c r="AY10" s="61">
        <f>AX10</f>
        <v>203738</v>
      </c>
      <c r="AZ10" s="11">
        <f>SUM(AZ11:AZ13)</f>
        <v>226907</v>
      </c>
      <c r="BA10" s="11">
        <f>SUM(BA11:BA13)</f>
        <v>241282</v>
      </c>
      <c r="BB10" s="11">
        <f>SUM(BB11:BB13)</f>
        <v>242370</v>
      </c>
      <c r="BC10" s="11">
        <f>SUM(BC11:BC13)</f>
        <v>239010</v>
      </c>
      <c r="BD10" s="61">
        <f>BC10</f>
        <v>239010</v>
      </c>
      <c r="BE10" s="11">
        <f>SUM(BE11:BE13)</f>
        <v>261893</v>
      </c>
      <c r="BF10" s="11">
        <f>SUM(BF11:BF13)</f>
        <v>260661</v>
      </c>
      <c r="BG10" s="11">
        <f>SUM(BG11:BG13)</f>
        <v>282495</v>
      </c>
      <c r="BH10" s="11">
        <f>SUM(BH11:BH13)</f>
        <v>307712</v>
      </c>
      <c r="BI10" s="61">
        <f>BH10</f>
        <v>307712</v>
      </c>
      <c r="BJ10" s="11">
        <f>SUM(BJ11:BJ13)</f>
        <v>356375</v>
      </c>
      <c r="BK10" s="11">
        <f>SUM(BK11:BK13)</f>
        <v>376019</v>
      </c>
      <c r="BL10" s="11">
        <f>SUM(BL11:BL13)</f>
        <v>397409</v>
      </c>
      <c r="BM10" s="11">
        <f>SUM(BM11:BM13)</f>
        <v>403579</v>
      </c>
      <c r="BN10" s="61">
        <f>BM10</f>
        <v>403579</v>
      </c>
      <c r="BO10" s="11">
        <f>SUM(BO11:BO13)</f>
        <v>417817</v>
      </c>
      <c r="BP10" s="11">
        <f>SUM(BP11:BP13)</f>
        <v>425996</v>
      </c>
      <c r="BQ10" s="11">
        <f>SUM(BQ11:BQ13)</f>
        <v>417163</v>
      </c>
      <c r="BR10" s="11">
        <f>SUM(BR11:BR13)</f>
        <v>380790</v>
      </c>
      <c r="BS10" s="61">
        <f>BR10</f>
        <v>380790</v>
      </c>
      <c r="BT10" s="11">
        <f>SUM(BT11:BT13)</f>
        <v>363383</v>
      </c>
      <c r="BU10" s="11">
        <f>SUM(BU11:BU13)</f>
        <v>367166</v>
      </c>
      <c r="BV10" s="11">
        <v>370344</v>
      </c>
      <c r="BW10" s="11">
        <f>SUM(BW11:BW13)</f>
        <v>364993</v>
      </c>
      <c r="BX10" s="61">
        <f>BW10</f>
        <v>364993</v>
      </c>
      <c r="BY10" s="11">
        <f>SUM(BY11:BY13)</f>
        <v>368149</v>
      </c>
      <c r="BZ10" s="11">
        <f t="shared" ref="BZ10" si="19">SUM(BZ11:BZ13)</f>
        <v>404547</v>
      </c>
      <c r="CA10" s="11">
        <f t="shared" ref="CA10" si="20">SUM(CA11:CA13)</f>
        <v>435070</v>
      </c>
      <c r="CB10" s="11">
        <f>SUM(CB11:CB13)</f>
        <v>460747</v>
      </c>
      <c r="CC10" s="61">
        <f>CB10</f>
        <v>460747</v>
      </c>
      <c r="CD10" s="11">
        <f>SUM(CD11:CD13)</f>
        <v>484971</v>
      </c>
      <c r="CE10" s="11">
        <f>SUM(CE11:CE13)</f>
        <v>556747</v>
      </c>
      <c r="CF10" s="11">
        <f>SUM(CF11:CF13)</f>
        <v>555537</v>
      </c>
      <c r="CG10" s="11">
        <f>SUM(CG11:CG13)</f>
        <v>509363</v>
      </c>
      <c r="CH10" s="61">
        <f>CG10</f>
        <v>509363</v>
      </c>
      <c r="CI10" s="11">
        <f>SUM(CI11:CI13)</f>
        <v>506149</v>
      </c>
      <c r="CJ10" s="11">
        <f>SUM(CJ11:CJ13)</f>
        <v>491301</v>
      </c>
      <c r="CK10" s="11">
        <f>SUM(CK11:CK13)</f>
        <v>479829</v>
      </c>
      <c r="CL10" s="11">
        <f>SUM(CL11:CL13)</f>
        <v>453874</v>
      </c>
      <c r="CM10" s="61">
        <f>CL10</f>
        <v>453874</v>
      </c>
      <c r="CN10" s="11">
        <f>SUM(CN11:CN13)</f>
        <v>431899</v>
      </c>
      <c r="CO10" s="11">
        <f>SUM(CO11:CO13)</f>
        <v>400839</v>
      </c>
      <c r="CP10" s="11">
        <f>SUM(CP11:CP13)</f>
        <v>0</v>
      </c>
      <c r="CQ10" s="11">
        <f>SUM(CQ11:CQ13)</f>
        <v>0</v>
      </c>
      <c r="CR10" s="61">
        <f>CQ10</f>
        <v>0</v>
      </c>
    </row>
    <row r="11" spans="1:96" ht="11.15" customHeight="1" x14ac:dyDescent="0.2">
      <c r="A11" s="21" t="s">
        <v>116</v>
      </c>
      <c r="B11" s="11"/>
      <c r="C11" s="36">
        <v>14637</v>
      </c>
      <c r="D11" s="36">
        <v>15498</v>
      </c>
      <c r="E11" s="36">
        <v>19244</v>
      </c>
      <c r="F11" s="61">
        <f t="shared" si="0"/>
        <v>19244</v>
      </c>
      <c r="G11" s="36">
        <v>18939</v>
      </c>
      <c r="H11" s="36">
        <v>21964</v>
      </c>
      <c r="I11" s="36">
        <v>23282</v>
      </c>
      <c r="J11" s="36">
        <v>25363</v>
      </c>
      <c r="K11" s="61">
        <f t="shared" si="1"/>
        <v>25363</v>
      </c>
      <c r="L11" s="36">
        <v>25876</v>
      </c>
      <c r="M11" s="36">
        <v>28488</v>
      </c>
      <c r="N11" s="36">
        <v>27438</v>
      </c>
      <c r="O11" s="36">
        <v>27482</v>
      </c>
      <c r="P11" s="61">
        <f t="shared" si="2"/>
        <v>27482</v>
      </c>
      <c r="Q11" s="36">
        <v>25073</v>
      </c>
      <c r="R11" s="36">
        <v>22447</v>
      </c>
      <c r="S11" s="36">
        <v>19458</v>
      </c>
      <c r="T11" s="36">
        <v>17801</v>
      </c>
      <c r="U11" s="61">
        <f t="shared" si="3"/>
        <v>17801</v>
      </c>
      <c r="V11" s="36">
        <v>17092</v>
      </c>
      <c r="W11" s="36">
        <v>17605</v>
      </c>
      <c r="X11" s="36">
        <v>22261</v>
      </c>
      <c r="Y11" s="36">
        <v>25126</v>
      </c>
      <c r="Z11" s="61">
        <f t="shared" si="4"/>
        <v>25126</v>
      </c>
      <c r="AA11" s="36">
        <v>29772</v>
      </c>
      <c r="AB11" s="36">
        <v>38963</v>
      </c>
      <c r="AC11" s="36">
        <v>42428</v>
      </c>
      <c r="AD11" s="36">
        <v>41107</v>
      </c>
      <c r="AE11" s="61">
        <f t="shared" si="5"/>
        <v>41107</v>
      </c>
      <c r="AF11" s="36">
        <v>42380</v>
      </c>
      <c r="AG11" s="36">
        <v>44053</v>
      </c>
      <c r="AH11" s="36">
        <v>48744</v>
      </c>
      <c r="AI11" s="36">
        <v>53436</v>
      </c>
      <c r="AJ11" s="61">
        <f t="shared" si="6"/>
        <v>53436</v>
      </c>
      <c r="AK11" s="36">
        <v>53603</v>
      </c>
      <c r="AL11" s="36">
        <v>58578</v>
      </c>
      <c r="AM11" s="36">
        <v>56738</v>
      </c>
      <c r="AN11" s="36">
        <v>54539</v>
      </c>
      <c r="AO11" s="61">
        <f>AN11</f>
        <v>54539</v>
      </c>
      <c r="AP11" s="36">
        <v>48513</v>
      </c>
      <c r="AQ11" s="36">
        <v>54376</v>
      </c>
      <c r="AR11" s="36">
        <v>58172</v>
      </c>
      <c r="AS11" s="36">
        <v>54925</v>
      </c>
      <c r="AT11" s="61">
        <f>AS11</f>
        <v>54925</v>
      </c>
      <c r="AU11" s="36">
        <v>54004</v>
      </c>
      <c r="AV11" s="36">
        <v>66618</v>
      </c>
      <c r="AW11" s="36">
        <v>71297</v>
      </c>
      <c r="AX11" s="36">
        <v>70394</v>
      </c>
      <c r="AY11" s="61">
        <f>AX11</f>
        <v>70394</v>
      </c>
      <c r="AZ11" s="36">
        <v>81922</v>
      </c>
      <c r="BA11" s="36">
        <v>89686</v>
      </c>
      <c r="BB11" s="36">
        <v>99251</v>
      </c>
      <c r="BC11" s="36">
        <v>93284</v>
      </c>
      <c r="BD11" s="61">
        <f>BC11</f>
        <v>93284</v>
      </c>
      <c r="BE11" s="36">
        <v>106829</v>
      </c>
      <c r="BF11" s="36">
        <v>116399</v>
      </c>
      <c r="BG11" s="36">
        <v>131920</v>
      </c>
      <c r="BH11" s="36">
        <v>145261</v>
      </c>
      <c r="BI11" s="61">
        <f>BH11</f>
        <v>145261</v>
      </c>
      <c r="BJ11" s="36">
        <v>181928</v>
      </c>
      <c r="BK11" s="36">
        <v>227876</v>
      </c>
      <c r="BL11" s="36">
        <v>240635</v>
      </c>
      <c r="BM11" s="36">
        <v>233594</v>
      </c>
      <c r="BN11" s="61">
        <f>BM11</f>
        <v>233594</v>
      </c>
      <c r="BO11" s="36">
        <v>247603</v>
      </c>
      <c r="BP11" s="36">
        <v>243768</v>
      </c>
      <c r="BQ11" s="36">
        <v>235276</v>
      </c>
      <c r="BR11" s="36">
        <v>200390</v>
      </c>
      <c r="BS11" s="61">
        <f>BR11</f>
        <v>200390</v>
      </c>
      <c r="BT11" s="36">
        <v>195170</v>
      </c>
      <c r="BU11" s="36">
        <v>191612</v>
      </c>
      <c r="BV11" s="36">
        <v>193765</v>
      </c>
      <c r="BW11" s="36">
        <v>190775</v>
      </c>
      <c r="BX11" s="61">
        <f>BW11</f>
        <v>190775</v>
      </c>
      <c r="BY11" s="36">
        <v>190376</v>
      </c>
      <c r="BZ11" s="36">
        <v>224486</v>
      </c>
      <c r="CA11" s="36">
        <v>247929</v>
      </c>
      <c r="CB11" s="36">
        <v>270146</v>
      </c>
      <c r="CC11" s="61">
        <f>CB11</f>
        <v>270146</v>
      </c>
      <c r="CD11" s="36">
        <v>288752</v>
      </c>
      <c r="CE11" s="36">
        <v>350015</v>
      </c>
      <c r="CF11" s="36">
        <v>384471</v>
      </c>
      <c r="CG11" s="36">
        <v>322506</v>
      </c>
      <c r="CH11" s="61">
        <f>CG11</f>
        <v>322506</v>
      </c>
      <c r="CI11" s="36">
        <v>308357</v>
      </c>
      <c r="CJ11" s="36">
        <v>295166</v>
      </c>
      <c r="CK11" s="36">
        <v>279309</v>
      </c>
      <c r="CL11" s="36">
        <v>263652</v>
      </c>
      <c r="CM11" s="61">
        <f>CL11</f>
        <v>263652</v>
      </c>
      <c r="CN11" s="36">
        <v>249123</v>
      </c>
      <c r="CO11" s="36">
        <v>226305</v>
      </c>
      <c r="CP11" s="36"/>
      <c r="CQ11" s="36"/>
      <c r="CR11" s="61">
        <f>CQ11</f>
        <v>0</v>
      </c>
    </row>
    <row r="12" spans="1:96" ht="11.15" customHeight="1" x14ac:dyDescent="0.2">
      <c r="A12" s="21" t="s">
        <v>117</v>
      </c>
      <c r="B12" s="11"/>
      <c r="C12" s="36">
        <v>8872</v>
      </c>
      <c r="D12" s="36">
        <v>11983</v>
      </c>
      <c r="E12" s="36">
        <v>12886</v>
      </c>
      <c r="F12" s="61">
        <f t="shared" si="0"/>
        <v>12886</v>
      </c>
      <c r="G12" s="36">
        <v>14540</v>
      </c>
      <c r="H12" s="36">
        <v>18827</v>
      </c>
      <c r="I12" s="36">
        <v>23630</v>
      </c>
      <c r="J12" s="36">
        <v>25831</v>
      </c>
      <c r="K12" s="61">
        <f t="shared" si="1"/>
        <v>25831</v>
      </c>
      <c r="L12" s="36">
        <v>31456</v>
      </c>
      <c r="M12" s="36">
        <v>31958</v>
      </c>
      <c r="N12" s="36">
        <v>29489</v>
      </c>
      <c r="O12" s="36">
        <v>28653</v>
      </c>
      <c r="P12" s="61">
        <f t="shared" si="2"/>
        <v>28653</v>
      </c>
      <c r="Q12" s="36">
        <v>26719</v>
      </c>
      <c r="R12" s="36">
        <v>23704</v>
      </c>
      <c r="S12" s="36">
        <v>23409</v>
      </c>
      <c r="T12" s="36">
        <v>21375</v>
      </c>
      <c r="U12" s="61">
        <f t="shared" si="3"/>
        <v>21375</v>
      </c>
      <c r="V12" s="36">
        <v>22089</v>
      </c>
      <c r="W12" s="36">
        <v>21240</v>
      </c>
      <c r="X12" s="36">
        <v>23008</v>
      </c>
      <c r="Y12" s="36">
        <v>24392</v>
      </c>
      <c r="Z12" s="61">
        <f t="shared" si="4"/>
        <v>24392</v>
      </c>
      <c r="AA12" s="36">
        <v>30666</v>
      </c>
      <c r="AB12" s="36">
        <v>36929</v>
      </c>
      <c r="AC12" s="36">
        <v>39300</v>
      </c>
      <c r="AD12" s="36">
        <v>40380</v>
      </c>
      <c r="AE12" s="61">
        <f t="shared" si="5"/>
        <v>40380</v>
      </c>
      <c r="AF12" s="36">
        <v>45614</v>
      </c>
      <c r="AG12" s="36">
        <v>40586</v>
      </c>
      <c r="AH12" s="36">
        <v>43002</v>
      </c>
      <c r="AI12" s="36">
        <v>46240</v>
      </c>
      <c r="AJ12" s="61">
        <f t="shared" si="6"/>
        <v>46240</v>
      </c>
      <c r="AK12" s="36">
        <v>50394</v>
      </c>
      <c r="AL12" s="36">
        <v>50412</v>
      </c>
      <c r="AM12" s="36">
        <v>60391</v>
      </c>
      <c r="AN12" s="36">
        <v>64927</v>
      </c>
      <c r="AO12" s="61">
        <f>AN12</f>
        <v>64927</v>
      </c>
      <c r="AP12" s="36">
        <v>64385</v>
      </c>
      <c r="AQ12" s="36">
        <v>67886</v>
      </c>
      <c r="AR12" s="36">
        <v>63823</v>
      </c>
      <c r="AS12" s="36">
        <v>58603</v>
      </c>
      <c r="AT12" s="61">
        <f>AS12</f>
        <v>58603</v>
      </c>
      <c r="AU12" s="36">
        <v>52016</v>
      </c>
      <c r="AV12" s="36">
        <v>46387</v>
      </c>
      <c r="AW12" s="36">
        <v>35272</v>
      </c>
      <c r="AX12" s="36">
        <v>43259</v>
      </c>
      <c r="AY12" s="61">
        <f>AX12</f>
        <v>43259</v>
      </c>
      <c r="AZ12" s="36">
        <v>39648</v>
      </c>
      <c r="BA12" s="36">
        <v>35353</v>
      </c>
      <c r="BB12" s="36">
        <v>29316</v>
      </c>
      <c r="BC12" s="36">
        <v>44723</v>
      </c>
      <c r="BD12" s="61">
        <f>BC12</f>
        <v>44723</v>
      </c>
      <c r="BE12" s="36">
        <v>24666</v>
      </c>
      <c r="BF12" s="36">
        <v>26755</v>
      </c>
      <c r="BG12" s="36">
        <v>35097</v>
      </c>
      <c r="BH12" s="36">
        <v>43646</v>
      </c>
      <c r="BI12" s="61">
        <f>BH12</f>
        <v>43646</v>
      </c>
      <c r="BJ12" s="36">
        <v>35942</v>
      </c>
      <c r="BK12" s="36">
        <v>35411</v>
      </c>
      <c r="BL12" s="36">
        <v>40763</v>
      </c>
      <c r="BM12" s="36">
        <v>66498</v>
      </c>
      <c r="BN12" s="61">
        <f>BM12</f>
        <v>66498</v>
      </c>
      <c r="BO12" s="36">
        <v>55698</v>
      </c>
      <c r="BP12" s="36">
        <v>40661</v>
      </c>
      <c r="BQ12" s="36">
        <v>49744</v>
      </c>
      <c r="BR12" s="36">
        <v>49620</v>
      </c>
      <c r="BS12" s="61">
        <f>BR12</f>
        <v>49620</v>
      </c>
      <c r="BT12" s="36">
        <v>28728</v>
      </c>
      <c r="BU12" s="36">
        <v>39630</v>
      </c>
      <c r="BV12" s="36">
        <v>46714</v>
      </c>
      <c r="BW12" s="36">
        <v>47251</v>
      </c>
      <c r="BX12" s="61">
        <f>BW12</f>
        <v>47251</v>
      </c>
      <c r="BY12" s="36">
        <v>38066</v>
      </c>
      <c r="BZ12" s="36">
        <v>32449</v>
      </c>
      <c r="CA12" s="36">
        <v>33335</v>
      </c>
      <c r="CB12" s="36">
        <v>32506</v>
      </c>
      <c r="CC12" s="61">
        <f>CB12</f>
        <v>32506</v>
      </c>
      <c r="CD12" s="36">
        <v>36806</v>
      </c>
      <c r="CE12" s="36">
        <v>43780</v>
      </c>
      <c r="CF12" s="36">
        <v>49630</v>
      </c>
      <c r="CG12" s="36">
        <v>18911</v>
      </c>
      <c r="CH12" s="61">
        <f>CG12</f>
        <v>18911</v>
      </c>
      <c r="CI12" s="36">
        <v>39603</v>
      </c>
      <c r="CJ12" s="36">
        <v>58546</v>
      </c>
      <c r="CK12" s="36">
        <v>62414</v>
      </c>
      <c r="CL12" s="36">
        <v>47997</v>
      </c>
      <c r="CM12" s="61">
        <f>CL12</f>
        <v>47997</v>
      </c>
      <c r="CN12" s="36">
        <v>43380</v>
      </c>
      <c r="CO12" s="36">
        <v>44051</v>
      </c>
      <c r="CP12" s="36"/>
      <c r="CQ12" s="36"/>
      <c r="CR12" s="61">
        <f>CQ12</f>
        <v>0</v>
      </c>
    </row>
    <row r="13" spans="1:96" ht="11.15" customHeight="1" x14ac:dyDescent="0.2">
      <c r="A13" s="21" t="s">
        <v>118</v>
      </c>
      <c r="B13" s="11"/>
      <c r="C13" s="36">
        <v>11250</v>
      </c>
      <c r="D13" s="36">
        <v>12886</v>
      </c>
      <c r="E13" s="36">
        <v>10032</v>
      </c>
      <c r="F13" s="61">
        <f t="shared" si="0"/>
        <v>10032</v>
      </c>
      <c r="G13" s="36">
        <v>11688</v>
      </c>
      <c r="H13" s="36">
        <v>11900</v>
      </c>
      <c r="I13" s="36">
        <v>11938</v>
      </c>
      <c r="J13" s="36">
        <v>9218</v>
      </c>
      <c r="K13" s="61">
        <f t="shared" si="1"/>
        <v>9218</v>
      </c>
      <c r="L13" s="36">
        <v>12298</v>
      </c>
      <c r="M13" s="36">
        <v>16128</v>
      </c>
      <c r="N13" s="36">
        <v>15870</v>
      </c>
      <c r="O13" s="36">
        <v>16420</v>
      </c>
      <c r="P13" s="61">
        <f t="shared" si="2"/>
        <v>16420</v>
      </c>
      <c r="Q13" s="36">
        <v>14653</v>
      </c>
      <c r="R13" s="36">
        <v>15934</v>
      </c>
      <c r="S13" s="36">
        <v>16288</v>
      </c>
      <c r="T13" s="36">
        <v>13693</v>
      </c>
      <c r="U13" s="61">
        <f t="shared" si="3"/>
        <v>13693</v>
      </c>
      <c r="V13" s="36">
        <v>12954</v>
      </c>
      <c r="W13" s="36">
        <v>15184</v>
      </c>
      <c r="X13" s="36">
        <v>19629</v>
      </c>
      <c r="Y13" s="36">
        <v>22952</v>
      </c>
      <c r="Z13" s="61">
        <f t="shared" si="4"/>
        <v>22952</v>
      </c>
      <c r="AA13" s="36">
        <v>28260</v>
      </c>
      <c r="AB13" s="36">
        <v>33381</v>
      </c>
      <c r="AC13" s="36">
        <v>35548</v>
      </c>
      <c r="AD13" s="36">
        <v>35491</v>
      </c>
      <c r="AE13" s="61">
        <f t="shared" si="5"/>
        <v>35491</v>
      </c>
      <c r="AF13" s="36">
        <v>35436</v>
      </c>
      <c r="AG13" s="36">
        <v>37340</v>
      </c>
      <c r="AH13" s="36">
        <v>43375</v>
      </c>
      <c r="AI13" s="36">
        <v>39942</v>
      </c>
      <c r="AJ13" s="61">
        <f t="shared" si="6"/>
        <v>39942</v>
      </c>
      <c r="AK13" s="36">
        <v>38099</v>
      </c>
      <c r="AL13" s="36">
        <v>45103</v>
      </c>
      <c r="AM13" s="36">
        <v>54139</v>
      </c>
      <c r="AN13" s="36">
        <v>53234</v>
      </c>
      <c r="AO13" s="61">
        <f>AN13</f>
        <v>53234</v>
      </c>
      <c r="AP13" s="36">
        <v>57658</v>
      </c>
      <c r="AQ13" s="36">
        <v>56663</v>
      </c>
      <c r="AR13" s="36">
        <v>57481</v>
      </c>
      <c r="AS13" s="36">
        <v>57481</v>
      </c>
      <c r="AT13" s="61">
        <f>AS13</f>
        <v>57481</v>
      </c>
      <c r="AU13" s="36">
        <v>68120</v>
      </c>
      <c r="AV13" s="36">
        <v>77843</v>
      </c>
      <c r="AW13" s="36">
        <v>91066</v>
      </c>
      <c r="AX13" s="36">
        <v>90085</v>
      </c>
      <c r="AY13" s="61">
        <f>AX13</f>
        <v>90085</v>
      </c>
      <c r="AZ13" s="36">
        <v>105337</v>
      </c>
      <c r="BA13" s="36">
        <v>116243</v>
      </c>
      <c r="BB13" s="36">
        <v>113803</v>
      </c>
      <c r="BC13" s="36">
        <v>101003</v>
      </c>
      <c r="BD13" s="61">
        <f>BC13</f>
        <v>101003</v>
      </c>
      <c r="BE13" s="36">
        <v>130398</v>
      </c>
      <c r="BF13" s="36">
        <v>117507</v>
      </c>
      <c r="BG13" s="36">
        <v>115478</v>
      </c>
      <c r="BH13" s="36">
        <v>118805</v>
      </c>
      <c r="BI13" s="61">
        <f>BH13</f>
        <v>118805</v>
      </c>
      <c r="BJ13" s="36">
        <v>138505</v>
      </c>
      <c r="BK13" s="36">
        <v>112732</v>
      </c>
      <c r="BL13" s="36">
        <v>116011</v>
      </c>
      <c r="BM13" s="36">
        <v>103487</v>
      </c>
      <c r="BN13" s="61">
        <f>BM13</f>
        <v>103487</v>
      </c>
      <c r="BO13" s="36">
        <v>114516</v>
      </c>
      <c r="BP13" s="36">
        <v>141567</v>
      </c>
      <c r="BQ13" s="36">
        <v>132143</v>
      </c>
      <c r="BR13" s="36">
        <v>130780</v>
      </c>
      <c r="BS13" s="61">
        <f>BR13</f>
        <v>130780</v>
      </c>
      <c r="BT13" s="36">
        <v>139485</v>
      </c>
      <c r="BU13" s="36">
        <v>135924</v>
      </c>
      <c r="BV13" s="36">
        <v>129865</v>
      </c>
      <c r="BW13" s="36">
        <v>126967</v>
      </c>
      <c r="BX13" s="61">
        <f>BW13</f>
        <v>126967</v>
      </c>
      <c r="BY13" s="36">
        <v>139707</v>
      </c>
      <c r="BZ13" s="36">
        <v>147612</v>
      </c>
      <c r="CA13" s="36">
        <v>153806</v>
      </c>
      <c r="CB13" s="36">
        <v>158095</v>
      </c>
      <c r="CC13" s="61">
        <f>CB13</f>
        <v>158095</v>
      </c>
      <c r="CD13" s="36">
        <v>159413</v>
      </c>
      <c r="CE13" s="36">
        <v>162952</v>
      </c>
      <c r="CF13" s="36">
        <v>121436</v>
      </c>
      <c r="CG13" s="36">
        <v>167946</v>
      </c>
      <c r="CH13" s="61">
        <f>CG13</f>
        <v>167946</v>
      </c>
      <c r="CI13" s="36">
        <v>158189</v>
      </c>
      <c r="CJ13" s="36">
        <v>137589</v>
      </c>
      <c r="CK13" s="36">
        <v>138106</v>
      </c>
      <c r="CL13" s="36">
        <v>142225</v>
      </c>
      <c r="CM13" s="61">
        <f>CL13</f>
        <v>142225</v>
      </c>
      <c r="CN13" s="36">
        <v>139396</v>
      </c>
      <c r="CO13" s="36">
        <v>130483</v>
      </c>
      <c r="CP13" s="36"/>
      <c r="CQ13" s="36"/>
      <c r="CR13" s="61">
        <f>CQ13</f>
        <v>0</v>
      </c>
    </row>
    <row r="14" spans="1:96" ht="11.15" customHeight="1" x14ac:dyDescent="0.2">
      <c r="A14" s="7" t="s">
        <v>54</v>
      </c>
      <c r="B14" s="11"/>
      <c r="C14" s="36">
        <v>0</v>
      </c>
      <c r="D14" s="36">
        <v>0</v>
      </c>
      <c r="E14" s="36">
        <v>80</v>
      </c>
      <c r="F14" s="65">
        <f t="shared" ref="F14:F15" si="21">E14</f>
        <v>80</v>
      </c>
      <c r="G14" s="36">
        <v>0</v>
      </c>
      <c r="H14" s="36">
        <v>5881</v>
      </c>
      <c r="I14" s="36">
        <v>7663</v>
      </c>
      <c r="J14" s="36">
        <v>3145</v>
      </c>
      <c r="K14" s="61">
        <f t="shared" ref="K14:K15" si="22">J14</f>
        <v>3145</v>
      </c>
      <c r="L14" s="36">
        <v>2252</v>
      </c>
      <c r="M14" s="36">
        <v>935</v>
      </c>
      <c r="N14" s="36">
        <v>1015</v>
      </c>
      <c r="O14" s="36">
        <v>1968</v>
      </c>
      <c r="P14" s="61">
        <f t="shared" ref="P14:P15" si="23">O14</f>
        <v>1968</v>
      </c>
      <c r="Q14" s="36">
        <v>1585</v>
      </c>
      <c r="R14" s="36">
        <v>1995</v>
      </c>
      <c r="S14" s="36">
        <v>975</v>
      </c>
      <c r="T14" s="36">
        <v>2558</v>
      </c>
      <c r="U14" s="61">
        <f t="shared" ref="U14:U15" si="24">T14</f>
        <v>2558</v>
      </c>
      <c r="V14" s="36">
        <v>3193</v>
      </c>
      <c r="W14" s="36">
        <v>2960</v>
      </c>
      <c r="X14" s="36">
        <v>5199</v>
      </c>
      <c r="Y14" s="36">
        <v>2663</v>
      </c>
      <c r="Z14" s="61">
        <f t="shared" ref="Z14:Z15" si="25">Y14</f>
        <v>2663</v>
      </c>
      <c r="AA14" s="36">
        <v>2376</v>
      </c>
      <c r="AB14" s="36">
        <v>4419</v>
      </c>
      <c r="AC14" s="36">
        <v>14494</v>
      </c>
      <c r="AD14" s="36">
        <v>13285</v>
      </c>
      <c r="AE14" s="61">
        <f t="shared" ref="AE14:AE15" si="26">AD14</f>
        <v>13285</v>
      </c>
      <c r="AF14" s="36">
        <v>14434</v>
      </c>
      <c r="AG14" s="36">
        <v>13946</v>
      </c>
      <c r="AH14" s="36">
        <v>13968</v>
      </c>
      <c r="AI14" s="36">
        <v>13071</v>
      </c>
      <c r="AJ14" s="61">
        <f t="shared" ref="AJ14:AJ15" si="27">AI14</f>
        <v>13071</v>
      </c>
      <c r="AK14" s="36">
        <v>14397</v>
      </c>
      <c r="AL14" s="36">
        <v>16146</v>
      </c>
      <c r="AM14" s="36">
        <v>17326</v>
      </c>
      <c r="AN14" s="36">
        <v>15996</v>
      </c>
      <c r="AO14" s="61">
        <f t="shared" si="7"/>
        <v>15996</v>
      </c>
      <c r="AP14" s="36">
        <v>17977</v>
      </c>
      <c r="AQ14" s="36">
        <v>19706</v>
      </c>
      <c r="AR14" s="36">
        <v>20940</v>
      </c>
      <c r="AS14" s="36">
        <v>20967</v>
      </c>
      <c r="AT14" s="61">
        <f t="shared" si="8"/>
        <v>20967</v>
      </c>
      <c r="AU14" s="36">
        <v>25712</v>
      </c>
      <c r="AV14" s="36">
        <v>27822</v>
      </c>
      <c r="AW14" s="36">
        <v>32571</v>
      </c>
      <c r="AX14" s="36">
        <v>33692</v>
      </c>
      <c r="AY14" s="61">
        <f t="shared" si="9"/>
        <v>33692</v>
      </c>
      <c r="AZ14" s="36">
        <v>37159</v>
      </c>
      <c r="BA14" s="36">
        <v>32890</v>
      </c>
      <c r="BB14" s="36">
        <v>35342</v>
      </c>
      <c r="BC14" s="36">
        <v>34128</v>
      </c>
      <c r="BD14" s="61">
        <f t="shared" si="10"/>
        <v>34128</v>
      </c>
      <c r="BE14" s="36">
        <v>41959</v>
      </c>
      <c r="BF14" s="36">
        <v>37912</v>
      </c>
      <c r="BG14" s="36">
        <v>40639</v>
      </c>
      <c r="BH14" s="36">
        <v>44944</v>
      </c>
      <c r="BI14" s="61">
        <f t="shared" si="11"/>
        <v>44944</v>
      </c>
      <c r="BJ14" s="36">
        <v>42430</v>
      </c>
      <c r="BK14" s="36">
        <v>40215</v>
      </c>
      <c r="BL14" s="36">
        <v>61222</v>
      </c>
      <c r="BM14" s="36">
        <v>43782</v>
      </c>
      <c r="BN14" s="61">
        <f t="shared" si="12"/>
        <v>43782</v>
      </c>
      <c r="BO14" s="36">
        <v>50961</v>
      </c>
      <c r="BP14" s="36">
        <v>49885</v>
      </c>
      <c r="BQ14" s="36">
        <v>50693</v>
      </c>
      <c r="BR14" s="36">
        <v>38873</v>
      </c>
      <c r="BS14" s="61">
        <f t="shared" ref="BS14:BS15" si="28">BR14</f>
        <v>38873</v>
      </c>
      <c r="BT14" s="36">
        <v>50840</v>
      </c>
      <c r="BU14" s="36">
        <v>62778</v>
      </c>
      <c r="BV14" s="36">
        <v>60436</v>
      </c>
      <c r="BW14" s="36">
        <v>69893</v>
      </c>
      <c r="BX14" s="61">
        <f t="shared" ref="BX14:BX15" si="29">BW14</f>
        <v>69893</v>
      </c>
      <c r="BY14" s="36">
        <v>70421</v>
      </c>
      <c r="BZ14" s="36">
        <v>64810</v>
      </c>
      <c r="CA14" s="36">
        <v>34482</v>
      </c>
      <c r="CB14" s="36">
        <v>36990</v>
      </c>
      <c r="CC14" s="61">
        <f t="shared" ref="CC14:CC15" si="30">CB14</f>
        <v>36990</v>
      </c>
      <c r="CD14" s="36">
        <v>40888</v>
      </c>
      <c r="CE14" s="36">
        <v>52912</v>
      </c>
      <c r="CF14" s="36">
        <v>49496</v>
      </c>
      <c r="CG14" s="36">
        <v>40934</v>
      </c>
      <c r="CH14" s="61">
        <f t="shared" ref="CH14:CH15" si="31">CG14</f>
        <v>40934</v>
      </c>
      <c r="CI14" s="36">
        <v>47054</v>
      </c>
      <c r="CJ14" s="36">
        <v>50748</v>
      </c>
      <c r="CK14" s="36">
        <v>32538</v>
      </c>
      <c r="CL14" s="36">
        <v>26038</v>
      </c>
      <c r="CM14" s="61">
        <f t="shared" ref="CM14:CM15" si="32">CL14</f>
        <v>26038</v>
      </c>
      <c r="CN14" s="36">
        <v>24530</v>
      </c>
      <c r="CO14" s="36">
        <v>30208</v>
      </c>
      <c r="CP14" s="36"/>
      <c r="CQ14" s="36"/>
      <c r="CR14" s="61">
        <f t="shared" ref="CR14:CR15" si="33">CQ14</f>
        <v>0</v>
      </c>
    </row>
    <row r="15" spans="1:96" ht="11.15" customHeight="1" x14ac:dyDescent="0.2">
      <c r="A15" s="7" t="s">
        <v>26</v>
      </c>
      <c r="B15" s="9"/>
      <c r="C15" s="37">
        <v>4141</v>
      </c>
      <c r="D15" s="37">
        <v>4324</v>
      </c>
      <c r="E15" s="37">
        <v>6586</v>
      </c>
      <c r="F15" s="59">
        <f t="shared" si="21"/>
        <v>6586</v>
      </c>
      <c r="G15" s="37">
        <v>9182</v>
      </c>
      <c r="H15" s="37">
        <v>7914</v>
      </c>
      <c r="I15" s="37">
        <v>9449</v>
      </c>
      <c r="J15" s="37">
        <v>7071</v>
      </c>
      <c r="K15" s="59">
        <f t="shared" si="22"/>
        <v>7071</v>
      </c>
      <c r="L15" s="37">
        <v>9308</v>
      </c>
      <c r="M15" s="37">
        <v>7759</v>
      </c>
      <c r="N15" s="37">
        <v>9228</v>
      </c>
      <c r="O15" s="37">
        <v>7200</v>
      </c>
      <c r="P15" s="59">
        <f t="shared" si="23"/>
        <v>7200</v>
      </c>
      <c r="Q15" s="37">
        <v>6265</v>
      </c>
      <c r="R15" s="37">
        <v>6138</v>
      </c>
      <c r="S15" s="37">
        <v>6581</v>
      </c>
      <c r="T15" s="37">
        <v>4653</v>
      </c>
      <c r="U15" s="59">
        <f t="shared" si="24"/>
        <v>4653</v>
      </c>
      <c r="V15" s="37">
        <v>6095</v>
      </c>
      <c r="W15" s="37">
        <v>7191</v>
      </c>
      <c r="X15" s="37">
        <v>10792</v>
      </c>
      <c r="Y15" s="37">
        <v>13816</v>
      </c>
      <c r="Z15" s="59">
        <f t="shared" si="25"/>
        <v>13816</v>
      </c>
      <c r="AA15" s="37">
        <v>17834</v>
      </c>
      <c r="AB15" s="37">
        <v>17179</v>
      </c>
      <c r="AC15" s="37">
        <v>13532</v>
      </c>
      <c r="AD15" s="37">
        <v>11855</v>
      </c>
      <c r="AE15" s="59">
        <f t="shared" si="26"/>
        <v>11855</v>
      </c>
      <c r="AF15" s="37">
        <v>14251</v>
      </c>
      <c r="AG15" s="37">
        <v>14516</v>
      </c>
      <c r="AH15" s="37">
        <v>18296</v>
      </c>
      <c r="AI15" s="37">
        <v>18639</v>
      </c>
      <c r="AJ15" s="59">
        <f t="shared" si="27"/>
        <v>18639</v>
      </c>
      <c r="AK15" s="37">
        <v>23265</v>
      </c>
      <c r="AL15" s="37">
        <v>25942</v>
      </c>
      <c r="AM15" s="37">
        <v>30072</v>
      </c>
      <c r="AN15" s="37">
        <v>30836</v>
      </c>
      <c r="AO15" s="59">
        <f t="shared" si="7"/>
        <v>30836</v>
      </c>
      <c r="AP15" s="37">
        <v>33118</v>
      </c>
      <c r="AQ15" s="37">
        <v>32634</v>
      </c>
      <c r="AR15" s="37">
        <v>23464</v>
      </c>
      <c r="AS15" s="37">
        <v>21295</v>
      </c>
      <c r="AT15" s="59">
        <f t="shared" si="8"/>
        <v>21295</v>
      </c>
      <c r="AU15" s="37">
        <v>23785</v>
      </c>
      <c r="AV15" s="37">
        <v>24241</v>
      </c>
      <c r="AW15" s="37">
        <v>23221</v>
      </c>
      <c r="AX15" s="37">
        <v>25564</v>
      </c>
      <c r="AY15" s="59">
        <f t="shared" si="9"/>
        <v>25564</v>
      </c>
      <c r="AZ15" s="37">
        <v>24577</v>
      </c>
      <c r="BA15" s="37">
        <v>33042</v>
      </c>
      <c r="BB15" s="37">
        <v>38913</v>
      </c>
      <c r="BC15" s="37">
        <v>41289</v>
      </c>
      <c r="BD15" s="59">
        <f t="shared" si="10"/>
        <v>41289</v>
      </c>
      <c r="BE15" s="37">
        <v>44133</v>
      </c>
      <c r="BF15" s="37">
        <v>44454</v>
      </c>
      <c r="BG15" s="37">
        <v>46727</v>
      </c>
      <c r="BH15" s="37">
        <v>47919</v>
      </c>
      <c r="BI15" s="59">
        <f t="shared" si="11"/>
        <v>47919</v>
      </c>
      <c r="BJ15" s="37">
        <v>54695</v>
      </c>
      <c r="BK15" s="37">
        <v>51911</v>
      </c>
      <c r="BL15" s="37">
        <v>50013</v>
      </c>
      <c r="BM15" s="37">
        <v>57764</v>
      </c>
      <c r="BN15" s="59">
        <f t="shared" si="12"/>
        <v>57764</v>
      </c>
      <c r="BO15" s="37">
        <v>61389</v>
      </c>
      <c r="BP15" s="37">
        <v>70675</v>
      </c>
      <c r="BQ15" s="37">
        <v>65896</v>
      </c>
      <c r="BR15" s="37">
        <v>55876</v>
      </c>
      <c r="BS15" s="59">
        <f t="shared" si="28"/>
        <v>55876</v>
      </c>
      <c r="BT15" s="37">
        <v>64514</v>
      </c>
      <c r="BU15" s="37">
        <v>68115</v>
      </c>
      <c r="BV15" s="37">
        <v>58905</v>
      </c>
      <c r="BW15" s="37">
        <v>57804</v>
      </c>
      <c r="BX15" s="59">
        <f t="shared" si="29"/>
        <v>57804</v>
      </c>
      <c r="BY15" s="37">
        <v>65877</v>
      </c>
      <c r="BZ15" s="37">
        <v>73157</v>
      </c>
      <c r="CA15" s="37">
        <v>63917</v>
      </c>
      <c r="CB15" s="37">
        <v>73320</v>
      </c>
      <c r="CC15" s="59">
        <f t="shared" si="30"/>
        <v>73320</v>
      </c>
      <c r="CD15" s="37">
        <v>82833</v>
      </c>
      <c r="CE15" s="37">
        <v>79662</v>
      </c>
      <c r="CF15" s="37">
        <v>84177</v>
      </c>
      <c r="CG15" s="37">
        <v>47047</v>
      </c>
      <c r="CH15" s="59">
        <f t="shared" si="31"/>
        <v>47047</v>
      </c>
      <c r="CI15" s="37">
        <v>56199</v>
      </c>
      <c r="CJ15" s="37">
        <v>54482</v>
      </c>
      <c r="CK15" s="37">
        <v>45005</v>
      </c>
      <c r="CL15" s="37">
        <v>38208</v>
      </c>
      <c r="CM15" s="59">
        <f t="shared" si="32"/>
        <v>38208</v>
      </c>
      <c r="CN15" s="37">
        <v>49071</v>
      </c>
      <c r="CO15" s="37">
        <v>46849</v>
      </c>
      <c r="CP15" s="37"/>
      <c r="CQ15" s="37"/>
      <c r="CR15" s="59">
        <f t="shared" si="33"/>
        <v>0</v>
      </c>
    </row>
    <row r="16" spans="1:96" s="2" customFormat="1" ht="11.15" customHeight="1" x14ac:dyDescent="0.25">
      <c r="A16" s="21" t="s">
        <v>29</v>
      </c>
      <c r="B16" s="11"/>
      <c r="C16" s="11">
        <f>SUM(C7:C10)+SUM(C14:C15)</f>
        <v>68313</v>
      </c>
      <c r="D16" s="11">
        <f>SUM(D7:D10)+SUM(D14:D15)</f>
        <v>78507</v>
      </c>
      <c r="E16" s="11">
        <f>SUM(E7:E10)+SUM(E14:E15)</f>
        <v>146848</v>
      </c>
      <c r="F16" s="61">
        <f>E16</f>
        <v>146848</v>
      </c>
      <c r="G16" s="11">
        <f>SUM(G7:G10)+SUM(G14:G15)</f>
        <v>127891</v>
      </c>
      <c r="H16" s="11">
        <f>SUM(H7:H10)+SUM(H14:H15)</f>
        <v>139921</v>
      </c>
      <c r="I16" s="11">
        <f>SUM(I7:I10)+SUM(I14:I15)</f>
        <v>153989</v>
      </c>
      <c r="J16" s="11">
        <f>SUM(J7:J10)+SUM(J14:J15)</f>
        <v>149496</v>
      </c>
      <c r="K16" s="61">
        <f>J16</f>
        <v>149496</v>
      </c>
      <c r="L16" s="11">
        <f>SUM(L7:L10)+SUM(L14:L15)</f>
        <v>158157</v>
      </c>
      <c r="M16" s="11">
        <f>SUM(M7:M10)+SUM(M14:M15)</f>
        <v>167941</v>
      </c>
      <c r="N16" s="11">
        <f>SUM(N7:N10)+SUM(N14:N15)</f>
        <v>166882</v>
      </c>
      <c r="O16" s="11">
        <f>SUM(O7:O10)+SUM(O14:O15)</f>
        <v>174848</v>
      </c>
      <c r="P16" s="61">
        <f>O16</f>
        <v>174848</v>
      </c>
      <c r="Q16" s="11">
        <f>SUM(Q7:Q10)+SUM(Q14:Q15)</f>
        <v>175636</v>
      </c>
      <c r="R16" s="11">
        <f>SUM(R7:R10)+SUM(R14:R15)</f>
        <v>180292</v>
      </c>
      <c r="S16" s="11">
        <f>SUM(S7:S10)+SUM(S14:S15)</f>
        <v>172788</v>
      </c>
      <c r="T16" s="11">
        <f>SUM(T7:T10)+SUM(T14:T15)</f>
        <v>173356</v>
      </c>
      <c r="U16" s="61">
        <f>T16</f>
        <v>173356</v>
      </c>
      <c r="V16" s="11">
        <f>SUM(V7:V10)+SUM(V14:V15)</f>
        <v>175908</v>
      </c>
      <c r="W16" s="11">
        <f>SUM(W7:W10)+SUM(W14:W15)</f>
        <v>194742</v>
      </c>
      <c r="X16" s="11">
        <f>SUM(X7:X10)+SUM(X14:X15)</f>
        <v>231239</v>
      </c>
      <c r="Y16" s="11">
        <f>SUM(Y7:Y10)+SUM(Y14:Y15)</f>
        <v>292208</v>
      </c>
      <c r="Z16" s="61">
        <f>Y16</f>
        <v>292208</v>
      </c>
      <c r="AA16" s="11">
        <f>SUM(AA7:AA10)+SUM(AA14:AA15)</f>
        <v>327496</v>
      </c>
      <c r="AB16" s="11">
        <f>SUM(AB7:AB10)+SUM(AB14:AB15)</f>
        <v>392351</v>
      </c>
      <c r="AC16" s="11">
        <f>SUM(AC7:AC10)+SUM(AC14:AC15)</f>
        <v>422249</v>
      </c>
      <c r="AD16" s="11">
        <f>SUM(AD7:AD10)+SUM(AD14:AD15)</f>
        <v>423558</v>
      </c>
      <c r="AE16" s="61">
        <f>AD16</f>
        <v>423558</v>
      </c>
      <c r="AF16" s="11">
        <f>SUM(AF7:AF10)+SUM(AF14:AF15)</f>
        <v>636063</v>
      </c>
      <c r="AG16" s="11">
        <f>SUM(AG7:AG10)+SUM(AG14:AG15)</f>
        <v>591916</v>
      </c>
      <c r="AH16" s="11">
        <f>SUM(AH7:AH10)+SUM(AH14:AH15)</f>
        <v>650603</v>
      </c>
      <c r="AI16" s="11">
        <f>SUM(AI7:AI10)+SUM(AI14:AI15)</f>
        <v>652011</v>
      </c>
      <c r="AJ16" s="61">
        <f>AI16</f>
        <v>652011</v>
      </c>
      <c r="AK16" s="11">
        <f>SUM(AK7:AK10)+SUM(AK14:AK15)</f>
        <v>638266</v>
      </c>
      <c r="AL16" s="11">
        <f>SUM(AL7:AL10)+SUM(AL14:AL15)</f>
        <v>680163</v>
      </c>
      <c r="AM16" s="11">
        <f>SUM(AM7:AM10)+SUM(AM14:AM15)</f>
        <v>737661</v>
      </c>
      <c r="AN16" s="11">
        <f>SUM(AN7:AN10)+SUM(AN14:AN15)</f>
        <v>772111</v>
      </c>
      <c r="AO16" s="61">
        <f>AN16</f>
        <v>772111</v>
      </c>
      <c r="AP16" s="11">
        <f t="shared" ref="AP16:AX16" si="34">SUM(AP7:AP10)+SUM(AP14:AP15)</f>
        <v>809858</v>
      </c>
      <c r="AQ16" s="11">
        <f t="shared" si="34"/>
        <v>838841</v>
      </c>
      <c r="AR16" s="11">
        <f t="shared" si="34"/>
        <v>848027</v>
      </c>
      <c r="AS16" s="11">
        <f t="shared" si="34"/>
        <v>878530</v>
      </c>
      <c r="AT16" s="61">
        <f t="shared" si="34"/>
        <v>878530</v>
      </c>
      <c r="AU16" s="11">
        <f t="shared" si="34"/>
        <v>914892</v>
      </c>
      <c r="AV16" s="11">
        <f t="shared" si="34"/>
        <v>984247</v>
      </c>
      <c r="AW16" s="11">
        <f t="shared" si="34"/>
        <v>1059461</v>
      </c>
      <c r="AX16" s="11">
        <f t="shared" si="34"/>
        <v>1102589</v>
      </c>
      <c r="AY16" s="61">
        <f>AX16</f>
        <v>1102589</v>
      </c>
      <c r="AZ16" s="11">
        <f>SUM(AZ7:AZ10)+SUM(AZ14:AZ15)</f>
        <v>1175113</v>
      </c>
      <c r="BA16" s="11">
        <f>SUM(BA7:BA10)+SUM(BA14:BA15)</f>
        <v>1172770</v>
      </c>
      <c r="BB16" s="11">
        <f>SUM(BB7:BB10)+SUM(BB14:BB15)</f>
        <v>1251878</v>
      </c>
      <c r="BC16" s="11">
        <f>SUM(BC7:BC10)+SUM(BC14:BC15)</f>
        <v>1300962</v>
      </c>
      <c r="BD16" s="61">
        <f>BC16</f>
        <v>1300962</v>
      </c>
      <c r="BE16" s="11">
        <f>SUM(BE7:BE10)+SUM(BE14:BE15)</f>
        <v>1391014</v>
      </c>
      <c r="BF16" s="11">
        <f>SUM(BF7:BF10)+SUM(BF14:BF15)</f>
        <v>1510774</v>
      </c>
      <c r="BG16" s="11">
        <f>SUM(BG7:BG10)+SUM(BG14:BG15)</f>
        <v>1642539</v>
      </c>
      <c r="BH16" s="11">
        <f>SUM(BH7:BH10)+SUM(BH14:BH15)</f>
        <v>1754010</v>
      </c>
      <c r="BI16" s="61">
        <f>BH16</f>
        <v>1754010</v>
      </c>
      <c r="BJ16" s="11">
        <f>SUM(BJ7:BJ10)+SUM(BJ14:BJ15)</f>
        <v>1864886</v>
      </c>
      <c r="BK16" s="11">
        <f>SUM(BK7:BK10)+SUM(BK14:BK15)</f>
        <v>1836035</v>
      </c>
      <c r="BL16" s="11">
        <f>SUM(BL7:BL10)+SUM(BL14:BL15)</f>
        <v>1882285</v>
      </c>
      <c r="BM16" s="11">
        <f>SUM(BM7:BM10)+SUM(BM14:BM15)</f>
        <v>1805424</v>
      </c>
      <c r="BN16" s="61">
        <f>BM16</f>
        <v>1805424</v>
      </c>
      <c r="BO16" s="11">
        <f>SUM(BO7:BO10)+SUM(BO14:BO15)</f>
        <v>1792094</v>
      </c>
      <c r="BP16" s="11">
        <f>SUM(BP7:BP10)+SUM(BP14:BP15)</f>
        <v>1863082</v>
      </c>
      <c r="BQ16" s="11">
        <f>SUM(BQ7:BQ10)+SUM(BQ14:BQ15)</f>
        <v>1865515</v>
      </c>
      <c r="BR16" s="11">
        <f>SUM(BR7:BR10)+SUM(BR14:BR15)</f>
        <v>1896634</v>
      </c>
      <c r="BS16" s="61">
        <f>BR16</f>
        <v>1896634</v>
      </c>
      <c r="BT16" s="11">
        <f>SUM(BT7:BT10)+SUM(BT14:BT15)</f>
        <v>1874526</v>
      </c>
      <c r="BU16" s="11">
        <f>SUM(BU7:BU10)+SUM(BU14:BU15)</f>
        <v>1950526</v>
      </c>
      <c r="BV16" s="11">
        <f>SUM(BV7:BV10)+SUM(BV14:BV15)</f>
        <v>2031653</v>
      </c>
      <c r="BW16" s="11">
        <f>SUM(BW7:BW10)+SUM(BW14:BW15)</f>
        <v>2148077</v>
      </c>
      <c r="BX16" s="61">
        <f>BW16</f>
        <v>2148077</v>
      </c>
      <c r="BY16" s="11">
        <f>SUM(BY7:BY10)+SUM(BY14:BY15)</f>
        <v>2202261</v>
      </c>
      <c r="BZ16" s="11">
        <f>SUM(BZ7:BZ10)+SUM(BZ14:BZ15)</f>
        <v>2290592</v>
      </c>
      <c r="CA16" s="11">
        <f>SUM(CA7:CA10)+SUM(CA14:CA15)</f>
        <v>2325175</v>
      </c>
      <c r="CB16" s="11">
        <f>SUM(CB7:CB10)+SUM(CB14:CB15)</f>
        <v>2347683</v>
      </c>
      <c r="CC16" s="61">
        <f>CB16</f>
        <v>2347683</v>
      </c>
      <c r="CD16" s="11">
        <f>SUM(CD7:CD10)+SUM(CD14:CD15)</f>
        <v>2282834</v>
      </c>
      <c r="CE16" s="11">
        <f>SUM(CE7:CE10)+SUM(CE14:CE15)</f>
        <v>2170851</v>
      </c>
      <c r="CF16" s="11">
        <f>SUM(CF7:CF10)+SUM(CF14:CF15)</f>
        <v>2119087</v>
      </c>
      <c r="CG16" s="11">
        <f>SUM(CG7:CG10)+SUM(CG14:CG15)</f>
        <v>1986274</v>
      </c>
      <c r="CH16" s="61">
        <f>CG16</f>
        <v>1986274</v>
      </c>
      <c r="CI16" s="11">
        <f>SUM(CI7:CI10)+SUM(CI14:CI15)</f>
        <v>1915587</v>
      </c>
      <c r="CJ16" s="11">
        <f>SUM(CJ7:CJ10)+SUM(CJ14:CJ15)</f>
        <v>1924068</v>
      </c>
      <c r="CK16" s="11">
        <f>SUM(CK7:CK10)+SUM(CK14:CK15)</f>
        <v>1920460</v>
      </c>
      <c r="CL16" s="11">
        <f>SUM(CL7:CL10)+SUM(CL14:CL15)</f>
        <v>1914654</v>
      </c>
      <c r="CM16" s="61">
        <f>CL16</f>
        <v>1914654</v>
      </c>
      <c r="CN16" s="11">
        <f>SUM(CN7:CN10)+SUM(CN14:CN15)</f>
        <v>1829619</v>
      </c>
      <c r="CO16" s="11">
        <f>SUM(CO7:CO10)+SUM(CO14:CO15)</f>
        <v>1717952</v>
      </c>
      <c r="CP16" s="11">
        <f>SUM(CP7:CP10)+SUM(CP14:CP15)</f>
        <v>0</v>
      </c>
      <c r="CQ16" s="11">
        <f>SUM(CQ7:CQ10)+SUM(CQ14:CQ15)</f>
        <v>0</v>
      </c>
      <c r="CR16" s="61">
        <f>CQ16</f>
        <v>0</v>
      </c>
    </row>
    <row r="17" spans="1:96" s="2" customFormat="1" ht="11.15" customHeight="1" x14ac:dyDescent="0.25">
      <c r="A17" s="21"/>
      <c r="B17" s="11"/>
      <c r="C17" s="11"/>
      <c r="D17" s="11"/>
      <c r="E17" s="11"/>
      <c r="F17" s="61"/>
      <c r="G17" s="11"/>
      <c r="H17" s="11"/>
      <c r="I17" s="11"/>
      <c r="J17" s="11"/>
      <c r="K17" s="61"/>
      <c r="L17" s="11"/>
      <c r="M17" s="11"/>
      <c r="N17" s="11"/>
      <c r="O17" s="11"/>
      <c r="P17" s="61"/>
      <c r="Q17" s="11"/>
      <c r="R17" s="11"/>
      <c r="S17" s="11"/>
      <c r="T17" s="11"/>
      <c r="U17" s="61"/>
      <c r="V17" s="11"/>
      <c r="W17" s="11"/>
      <c r="X17" s="11"/>
      <c r="Y17" s="11"/>
      <c r="Z17" s="61"/>
      <c r="AA17" s="11"/>
      <c r="AB17" s="11"/>
      <c r="AC17" s="11"/>
      <c r="AD17" s="11"/>
      <c r="AE17" s="61"/>
      <c r="AF17" s="11"/>
      <c r="AG17" s="11"/>
      <c r="AH17" s="11"/>
      <c r="AI17" s="11"/>
      <c r="AJ17" s="61"/>
      <c r="AK17" s="11"/>
      <c r="AL17" s="11"/>
      <c r="AM17" s="11"/>
      <c r="AN17" s="11"/>
      <c r="AO17" s="61"/>
      <c r="AP17" s="11"/>
      <c r="AQ17" s="11"/>
      <c r="AR17" s="11"/>
      <c r="AS17" s="11"/>
      <c r="AT17" s="61"/>
      <c r="AU17" s="11"/>
      <c r="AV17" s="11"/>
      <c r="AW17" s="11"/>
      <c r="AX17" s="11"/>
      <c r="AY17" s="61"/>
      <c r="AZ17" s="11"/>
      <c r="BA17" s="11"/>
      <c r="BB17" s="11"/>
      <c r="BC17" s="11"/>
      <c r="BD17" s="61"/>
      <c r="BE17" s="11"/>
      <c r="BF17" s="11"/>
      <c r="BG17" s="11"/>
      <c r="BH17" s="11"/>
      <c r="BI17" s="61"/>
      <c r="BJ17" s="11"/>
      <c r="BK17" s="11"/>
      <c r="BL17" s="11"/>
      <c r="BM17" s="11"/>
      <c r="BN17" s="61"/>
      <c r="BO17" s="11"/>
      <c r="BP17" s="11"/>
      <c r="BQ17" s="11"/>
      <c r="BR17" s="11"/>
      <c r="BS17" s="61"/>
      <c r="BT17" s="11"/>
      <c r="BU17" s="11"/>
      <c r="BV17" s="11"/>
      <c r="BW17" s="11"/>
      <c r="BX17" s="61"/>
      <c r="BY17" s="11"/>
      <c r="BZ17" s="11"/>
      <c r="CA17" s="11"/>
      <c r="CB17" s="11"/>
      <c r="CC17" s="61"/>
      <c r="CD17" s="11"/>
      <c r="CE17" s="11"/>
      <c r="CF17" s="11"/>
      <c r="CG17" s="11"/>
      <c r="CH17" s="61"/>
      <c r="CI17" s="11"/>
      <c r="CJ17" s="11"/>
      <c r="CK17" s="11"/>
      <c r="CL17" s="11"/>
      <c r="CM17" s="61"/>
      <c r="CN17" s="11"/>
      <c r="CO17" s="11"/>
      <c r="CP17" s="11"/>
      <c r="CQ17" s="11"/>
      <c r="CR17" s="61"/>
    </row>
    <row r="18" spans="1:96" s="2" customFormat="1" ht="11.15" customHeight="1" x14ac:dyDescent="0.25">
      <c r="A18" s="6" t="s">
        <v>179</v>
      </c>
      <c r="B18" s="11"/>
      <c r="C18" s="36">
        <v>168</v>
      </c>
      <c r="D18" s="36">
        <v>174</v>
      </c>
      <c r="E18" s="36">
        <f>9591+3801</f>
        <v>13392</v>
      </c>
      <c r="F18" s="61">
        <f t="shared" ref="F18:F23" si="35">E18</f>
        <v>13392</v>
      </c>
      <c r="G18" s="36">
        <f>5548+7305</f>
        <v>12853</v>
      </c>
      <c r="H18" s="36">
        <f>8717+3506</f>
        <v>12223</v>
      </c>
      <c r="I18" s="36">
        <f>7334+167</f>
        <v>7501</v>
      </c>
      <c r="J18" s="36">
        <f>6195+2795</f>
        <v>8990</v>
      </c>
      <c r="K18" s="61">
        <f t="shared" ref="K18:K23" si="36">J18</f>
        <v>8990</v>
      </c>
      <c r="L18" s="36">
        <f>7215+2555</f>
        <v>9770</v>
      </c>
      <c r="M18" s="36">
        <f>8065+2654</f>
        <v>10719</v>
      </c>
      <c r="N18" s="36">
        <f>6871+2813</f>
        <v>9684</v>
      </c>
      <c r="O18" s="36">
        <f>6175+2400</f>
        <v>8575</v>
      </c>
      <c r="P18" s="61">
        <f t="shared" ref="P18:P23" si="37">O18</f>
        <v>8575</v>
      </c>
      <c r="Q18" s="36">
        <f>8042+2765</f>
        <v>10807</v>
      </c>
      <c r="R18" s="36">
        <f>9539+3008</f>
        <v>12547</v>
      </c>
      <c r="S18" s="36">
        <f>11275+4077</f>
        <v>15352</v>
      </c>
      <c r="T18" s="36">
        <f>7558+4313</f>
        <v>11871</v>
      </c>
      <c r="U18" s="61">
        <f t="shared" ref="U18:U23" si="38">T18</f>
        <v>11871</v>
      </c>
      <c r="V18" s="36">
        <f>9253+4548</f>
        <v>13801</v>
      </c>
      <c r="W18" s="36">
        <f>10137+5326</f>
        <v>15463</v>
      </c>
      <c r="X18" s="36">
        <f>8374+6017</f>
        <v>14391</v>
      </c>
      <c r="Y18" s="36">
        <f>8593+4489</f>
        <v>13082</v>
      </c>
      <c r="Z18" s="61">
        <f t="shared" ref="Z18:Z23" si="39">Y18</f>
        <v>13082</v>
      </c>
      <c r="AA18" s="36">
        <f>9314+4485</f>
        <v>13799</v>
      </c>
      <c r="AB18" s="36">
        <f>7449+4267</f>
        <v>11716</v>
      </c>
      <c r="AC18" s="36">
        <f>9363+4763</f>
        <v>14126</v>
      </c>
      <c r="AD18" s="36">
        <f>10899+4830</f>
        <v>15729</v>
      </c>
      <c r="AE18" s="61">
        <f t="shared" ref="AE18:AE23" si="40">AD18</f>
        <v>15729</v>
      </c>
      <c r="AF18" s="36">
        <f>11615+5321</f>
        <v>16936</v>
      </c>
      <c r="AG18" s="36">
        <f>11041+6660</f>
        <v>17701</v>
      </c>
      <c r="AH18" s="36">
        <f>10503+4419</f>
        <v>14922</v>
      </c>
      <c r="AI18" s="36">
        <f>12948+2107</f>
        <v>15055</v>
      </c>
      <c r="AJ18" s="61">
        <f t="shared" ref="AJ18:AJ23" si="41">AI18</f>
        <v>15055</v>
      </c>
      <c r="AK18" s="36">
        <f>11105+2344</f>
        <v>13449</v>
      </c>
      <c r="AL18" s="36">
        <f>11422+3402</f>
        <v>14824</v>
      </c>
      <c r="AM18" s="36">
        <f>11547+6100</f>
        <v>17647</v>
      </c>
      <c r="AN18" s="36">
        <f>14232+4799</f>
        <v>19031</v>
      </c>
      <c r="AO18" s="61">
        <f t="shared" ref="AO18" si="42">AN18</f>
        <v>19031</v>
      </c>
      <c r="AP18" s="36">
        <f>15275+6014</f>
        <v>21289</v>
      </c>
      <c r="AQ18" s="36">
        <f>15251+8139</f>
        <v>23390</v>
      </c>
      <c r="AR18" s="36">
        <f>15227+9674</f>
        <v>24901</v>
      </c>
      <c r="AS18" s="36">
        <f>15308+5438</f>
        <v>20746</v>
      </c>
      <c r="AT18" s="61">
        <f t="shared" ref="AT18:AT23" si="43">AS18</f>
        <v>20746</v>
      </c>
      <c r="AU18" s="36">
        <f>16136+5868</f>
        <v>22004</v>
      </c>
      <c r="AV18" s="36">
        <f>18123+7495</f>
        <v>25618</v>
      </c>
      <c r="AW18" s="36">
        <f>18611+9237</f>
        <v>27848</v>
      </c>
      <c r="AX18" s="36">
        <f>20346+9386</f>
        <v>29732</v>
      </c>
      <c r="AY18" s="61">
        <f t="shared" ref="AY18:AY23" si="44">AX18</f>
        <v>29732</v>
      </c>
      <c r="AZ18" s="36">
        <f>22526+11889</f>
        <v>34415</v>
      </c>
      <c r="BA18" s="36">
        <f>24477+13438</f>
        <v>37915</v>
      </c>
      <c r="BB18" s="36">
        <f>24620+15371</f>
        <v>39991</v>
      </c>
      <c r="BC18" s="36">
        <v>42442</v>
      </c>
      <c r="BD18" s="61">
        <f t="shared" ref="BD18:BD23" si="45">BC18</f>
        <v>42442</v>
      </c>
      <c r="BE18" s="36">
        <v>47048</v>
      </c>
      <c r="BF18" s="36">
        <v>47843</v>
      </c>
      <c r="BG18" s="36">
        <v>40547</v>
      </c>
      <c r="BH18" s="36">
        <v>26976</v>
      </c>
      <c r="BI18" s="61">
        <f t="shared" ref="BI18:BI23" si="46">BH18</f>
        <v>26976</v>
      </c>
      <c r="BJ18" s="36">
        <v>24940</v>
      </c>
      <c r="BK18" s="36">
        <v>27818</v>
      </c>
      <c r="BL18" s="36">
        <v>19995</v>
      </c>
      <c r="BM18" s="36">
        <v>19165</v>
      </c>
      <c r="BN18" s="61">
        <f t="shared" ref="BN18:BN23" si="47">BM18</f>
        <v>19165</v>
      </c>
      <c r="BO18" s="36">
        <v>17438</v>
      </c>
      <c r="BP18" s="36">
        <v>20833</v>
      </c>
      <c r="BQ18" s="36">
        <v>23415</v>
      </c>
      <c r="BR18" s="36">
        <v>31395</v>
      </c>
      <c r="BS18" s="61">
        <f t="shared" ref="BS18:BS23" si="48">BR18</f>
        <v>31395</v>
      </c>
      <c r="BT18" s="36">
        <v>32801</v>
      </c>
      <c r="BU18" s="36">
        <v>30544</v>
      </c>
      <c r="BV18" s="36">
        <v>38616</v>
      </c>
      <c r="BW18" s="36">
        <v>43197</v>
      </c>
      <c r="BX18" s="61">
        <f t="shared" ref="BX18:BX23" si="49">BW18</f>
        <v>43197</v>
      </c>
      <c r="BY18" s="36">
        <v>41276</v>
      </c>
      <c r="BZ18" s="36">
        <v>45751</v>
      </c>
      <c r="CA18" s="36">
        <v>49008</v>
      </c>
      <c r="CB18" s="36">
        <v>47761</v>
      </c>
      <c r="CC18" s="61">
        <f t="shared" ref="CC18:CC23" si="50">CB18</f>
        <v>47761</v>
      </c>
      <c r="CD18" s="36">
        <v>49942</v>
      </c>
      <c r="CE18" s="36">
        <v>60563</v>
      </c>
      <c r="CF18" s="36">
        <v>69323</v>
      </c>
      <c r="CG18" s="36">
        <v>75152</v>
      </c>
      <c r="CH18" s="61">
        <f t="shared" ref="CH18:CH23" si="51">CG18</f>
        <v>75152</v>
      </c>
      <c r="CI18" s="36">
        <v>59089</v>
      </c>
      <c r="CJ18" s="36">
        <v>69644</v>
      </c>
      <c r="CK18" s="36">
        <v>79583</v>
      </c>
      <c r="CL18" s="36">
        <v>88788</v>
      </c>
      <c r="CM18" s="61">
        <f t="shared" ref="CM18:CM23" si="52">CL18</f>
        <v>88788</v>
      </c>
      <c r="CN18" s="36">
        <v>84452</v>
      </c>
      <c r="CO18" s="36">
        <v>88865</v>
      </c>
      <c r="CP18" s="36"/>
      <c r="CQ18" s="36"/>
      <c r="CR18" s="61">
        <f t="shared" ref="CR18:CR23" si="53">CQ18</f>
        <v>0</v>
      </c>
    </row>
    <row r="19" spans="1:96" ht="11.15" customHeight="1" x14ac:dyDescent="0.2">
      <c r="A19" s="6" t="s">
        <v>180</v>
      </c>
      <c r="B19" s="11"/>
      <c r="C19" s="36">
        <v>0</v>
      </c>
      <c r="D19" s="36">
        <v>0</v>
      </c>
      <c r="E19" s="36">
        <v>0</v>
      </c>
      <c r="F19" s="61">
        <f t="shared" si="35"/>
        <v>0</v>
      </c>
      <c r="G19" s="36">
        <v>0</v>
      </c>
      <c r="H19" s="36">
        <v>0</v>
      </c>
      <c r="I19" s="36">
        <v>0</v>
      </c>
      <c r="J19" s="36">
        <v>0</v>
      </c>
      <c r="K19" s="61">
        <f t="shared" si="36"/>
        <v>0</v>
      </c>
      <c r="L19" s="36">
        <v>0</v>
      </c>
      <c r="M19" s="36">
        <v>0</v>
      </c>
      <c r="N19" s="36">
        <v>0</v>
      </c>
      <c r="O19" s="36">
        <v>0</v>
      </c>
      <c r="P19" s="61">
        <f t="shared" si="37"/>
        <v>0</v>
      </c>
      <c r="Q19" s="36">
        <v>0</v>
      </c>
      <c r="R19" s="36">
        <v>0</v>
      </c>
      <c r="S19" s="36">
        <v>0</v>
      </c>
      <c r="T19" s="36">
        <v>0</v>
      </c>
      <c r="U19" s="61">
        <f t="shared" si="38"/>
        <v>0</v>
      </c>
      <c r="V19" s="36">
        <v>0</v>
      </c>
      <c r="W19" s="36">
        <v>0</v>
      </c>
      <c r="X19" s="36">
        <v>0</v>
      </c>
      <c r="Y19" s="36">
        <v>0</v>
      </c>
      <c r="Z19" s="61">
        <f t="shared" si="39"/>
        <v>0</v>
      </c>
      <c r="AA19" s="36">
        <v>0</v>
      </c>
      <c r="AB19" s="36">
        <v>0</v>
      </c>
      <c r="AC19" s="36">
        <v>0</v>
      </c>
      <c r="AD19" s="36">
        <v>0</v>
      </c>
      <c r="AE19" s="61">
        <f t="shared" si="40"/>
        <v>0</v>
      </c>
      <c r="AF19" s="36">
        <v>0</v>
      </c>
      <c r="AG19" s="36">
        <v>0</v>
      </c>
      <c r="AH19" s="36">
        <v>3113</v>
      </c>
      <c r="AI19" s="36">
        <v>2898</v>
      </c>
      <c r="AJ19" s="61">
        <f t="shared" si="41"/>
        <v>2898</v>
      </c>
      <c r="AK19" s="36">
        <v>3258</v>
      </c>
      <c r="AL19" s="36">
        <v>455</v>
      </c>
      <c r="AM19" s="36">
        <v>455</v>
      </c>
      <c r="AN19" s="36">
        <v>455</v>
      </c>
      <c r="AO19" s="61">
        <f>AN19</f>
        <v>455</v>
      </c>
      <c r="AP19" s="36">
        <v>455</v>
      </c>
      <c r="AQ19" s="36">
        <v>455</v>
      </c>
      <c r="AR19" s="36">
        <v>455</v>
      </c>
      <c r="AS19" s="36">
        <v>455</v>
      </c>
      <c r="AT19" s="61">
        <f t="shared" si="43"/>
        <v>455</v>
      </c>
      <c r="AU19" s="36">
        <v>519</v>
      </c>
      <c r="AV19" s="36">
        <v>516</v>
      </c>
      <c r="AW19" s="36">
        <v>508</v>
      </c>
      <c r="AX19" s="36">
        <v>505</v>
      </c>
      <c r="AY19" s="61">
        <f t="shared" si="44"/>
        <v>505</v>
      </c>
      <c r="AZ19" s="36">
        <v>502</v>
      </c>
      <c r="BA19" s="36">
        <v>20461</v>
      </c>
      <c r="BB19" s="36">
        <v>20142</v>
      </c>
      <c r="BC19" s="36">
        <v>19828</v>
      </c>
      <c r="BD19" s="61">
        <f t="shared" si="45"/>
        <v>19828</v>
      </c>
      <c r="BE19" s="36">
        <v>19831</v>
      </c>
      <c r="BF19" s="36">
        <v>28728</v>
      </c>
      <c r="BG19" s="36">
        <v>51143</v>
      </c>
      <c r="BH19" s="36">
        <v>55831</v>
      </c>
      <c r="BI19" s="61">
        <f t="shared" si="46"/>
        <v>55831</v>
      </c>
      <c r="BJ19" s="36">
        <v>55705</v>
      </c>
      <c r="BK19" s="36">
        <v>59616</v>
      </c>
      <c r="BL19" s="36">
        <v>56769</v>
      </c>
      <c r="BM19" s="36">
        <v>100722</v>
      </c>
      <c r="BN19" s="61">
        <f t="shared" si="47"/>
        <v>100722</v>
      </c>
      <c r="BO19" s="36">
        <v>110349</v>
      </c>
      <c r="BP19" s="36">
        <v>110868</v>
      </c>
      <c r="BQ19" s="36">
        <v>109954</v>
      </c>
      <c r="BR19" s="36">
        <v>82092</v>
      </c>
      <c r="BS19" s="61">
        <f t="shared" si="48"/>
        <v>82092</v>
      </c>
      <c r="BT19" s="36">
        <v>81627</v>
      </c>
      <c r="BU19" s="36">
        <v>81911</v>
      </c>
      <c r="BV19" s="36">
        <v>37731</v>
      </c>
      <c r="BW19" s="36">
        <v>41366</v>
      </c>
      <c r="BX19" s="61">
        <f t="shared" si="49"/>
        <v>41366</v>
      </c>
      <c r="BY19" s="36">
        <v>38764</v>
      </c>
      <c r="BZ19" s="36">
        <v>39000</v>
      </c>
      <c r="CA19" s="36">
        <v>38705</v>
      </c>
      <c r="CB19" s="36">
        <v>38609</v>
      </c>
      <c r="CC19" s="61">
        <f t="shared" si="50"/>
        <v>38609</v>
      </c>
      <c r="CD19" s="36">
        <v>39741</v>
      </c>
      <c r="CE19" s="36">
        <v>39285</v>
      </c>
      <c r="CF19" s="36">
        <v>37963</v>
      </c>
      <c r="CG19" s="36">
        <v>38325</v>
      </c>
      <c r="CH19" s="61">
        <f t="shared" si="51"/>
        <v>38325</v>
      </c>
      <c r="CI19" s="36">
        <v>38388</v>
      </c>
      <c r="CJ19" s="36">
        <v>38494</v>
      </c>
      <c r="CK19" s="36">
        <v>38265</v>
      </c>
      <c r="CL19" s="36">
        <v>38540</v>
      </c>
      <c r="CM19" s="61">
        <f t="shared" si="52"/>
        <v>38540</v>
      </c>
      <c r="CN19" s="36">
        <v>38351</v>
      </c>
      <c r="CO19" s="36">
        <v>38278</v>
      </c>
      <c r="CP19" s="36"/>
      <c r="CQ19" s="36"/>
      <c r="CR19" s="61">
        <f t="shared" si="53"/>
        <v>0</v>
      </c>
    </row>
    <row r="20" spans="1:96" ht="11.15" customHeight="1" x14ac:dyDescent="0.2">
      <c r="A20" s="6" t="s">
        <v>181</v>
      </c>
      <c r="B20" s="11"/>
      <c r="C20" s="36">
        <v>0</v>
      </c>
      <c r="D20" s="36">
        <v>0</v>
      </c>
      <c r="E20" s="36">
        <v>0</v>
      </c>
      <c r="F20" s="61">
        <f t="shared" si="35"/>
        <v>0</v>
      </c>
      <c r="G20" s="36">
        <v>0</v>
      </c>
      <c r="H20" s="36">
        <v>0</v>
      </c>
      <c r="I20" s="36">
        <v>0</v>
      </c>
      <c r="J20" s="36">
        <v>0</v>
      </c>
      <c r="K20" s="61">
        <f t="shared" si="36"/>
        <v>0</v>
      </c>
      <c r="L20" s="36">
        <v>0</v>
      </c>
      <c r="M20" s="39">
        <v>0</v>
      </c>
      <c r="N20" s="36">
        <v>0</v>
      </c>
      <c r="O20" s="36">
        <v>0</v>
      </c>
      <c r="P20" s="61">
        <f t="shared" si="37"/>
        <v>0</v>
      </c>
      <c r="Q20" s="36">
        <v>0</v>
      </c>
      <c r="R20" s="39">
        <v>0</v>
      </c>
      <c r="S20" s="36">
        <v>0</v>
      </c>
      <c r="T20" s="36">
        <v>0</v>
      </c>
      <c r="U20" s="61">
        <f t="shared" si="38"/>
        <v>0</v>
      </c>
      <c r="V20" s="36">
        <v>0</v>
      </c>
      <c r="W20" s="39">
        <v>0</v>
      </c>
      <c r="X20" s="36">
        <v>0</v>
      </c>
      <c r="Y20" s="36">
        <v>7131</v>
      </c>
      <c r="Z20" s="61">
        <f t="shared" si="39"/>
        <v>7131</v>
      </c>
      <c r="AA20" s="36">
        <v>8104</v>
      </c>
      <c r="AB20" s="39">
        <v>7736</v>
      </c>
      <c r="AC20" s="36">
        <v>6954</v>
      </c>
      <c r="AD20" s="36">
        <v>6157</v>
      </c>
      <c r="AE20" s="61">
        <f t="shared" si="40"/>
        <v>6157</v>
      </c>
      <c r="AF20" s="36">
        <v>5727</v>
      </c>
      <c r="AG20" s="39">
        <v>4946</v>
      </c>
      <c r="AH20" s="36">
        <v>7875</v>
      </c>
      <c r="AI20" s="36">
        <v>7510</v>
      </c>
      <c r="AJ20" s="61">
        <f t="shared" si="41"/>
        <v>7510</v>
      </c>
      <c r="AK20" s="36">
        <v>11412</v>
      </c>
      <c r="AL20" s="39">
        <v>10956</v>
      </c>
      <c r="AM20" s="36">
        <v>10131</v>
      </c>
      <c r="AN20" s="36">
        <v>9564</v>
      </c>
      <c r="AO20" s="61">
        <f>AN20</f>
        <v>9564</v>
      </c>
      <c r="AP20" s="36">
        <v>9018</v>
      </c>
      <c r="AQ20" s="39">
        <v>8472</v>
      </c>
      <c r="AR20" s="36">
        <v>9847</v>
      </c>
      <c r="AS20" s="36">
        <v>9227</v>
      </c>
      <c r="AT20" s="61">
        <f t="shared" si="43"/>
        <v>9227</v>
      </c>
      <c r="AU20" s="36">
        <v>14913</v>
      </c>
      <c r="AV20" s="39">
        <v>14013</v>
      </c>
      <c r="AW20" s="36">
        <v>12744</v>
      </c>
      <c r="AX20" s="36">
        <v>11904</v>
      </c>
      <c r="AY20" s="61">
        <f t="shared" si="44"/>
        <v>11904</v>
      </c>
      <c r="AZ20" s="36">
        <v>11066</v>
      </c>
      <c r="BA20" s="36">
        <v>29396</v>
      </c>
      <c r="BB20" s="36">
        <v>28372</v>
      </c>
      <c r="BC20" s="36">
        <v>28789</v>
      </c>
      <c r="BD20" s="61">
        <f t="shared" si="45"/>
        <v>28789</v>
      </c>
      <c r="BE20" s="36">
        <v>27892</v>
      </c>
      <c r="BF20" s="36">
        <v>32294</v>
      </c>
      <c r="BG20" s="36">
        <v>49669</v>
      </c>
      <c r="BH20" s="36">
        <v>51223</v>
      </c>
      <c r="BI20" s="61">
        <f t="shared" si="46"/>
        <v>51223</v>
      </c>
      <c r="BJ20" s="36">
        <v>49284</v>
      </c>
      <c r="BK20" s="36">
        <v>47249</v>
      </c>
      <c r="BL20" s="36">
        <v>45844</v>
      </c>
      <c r="BM20" s="36">
        <v>87139</v>
      </c>
      <c r="BN20" s="61">
        <f t="shared" si="47"/>
        <v>87139</v>
      </c>
      <c r="BO20" s="36">
        <v>93280</v>
      </c>
      <c r="BP20" s="36">
        <v>89906</v>
      </c>
      <c r="BQ20" s="36">
        <v>85561</v>
      </c>
      <c r="BR20" s="36">
        <v>74271</v>
      </c>
      <c r="BS20" s="61">
        <f t="shared" si="48"/>
        <v>74271</v>
      </c>
      <c r="BT20" s="36">
        <v>70832</v>
      </c>
      <c r="BU20" s="36">
        <v>67995</v>
      </c>
      <c r="BV20" s="36">
        <v>64999</v>
      </c>
      <c r="BW20" s="36">
        <v>62114</v>
      </c>
      <c r="BX20" s="61">
        <f t="shared" si="49"/>
        <v>62114</v>
      </c>
      <c r="BY20" s="36">
        <v>61768</v>
      </c>
      <c r="BZ20" s="36">
        <v>59070</v>
      </c>
      <c r="CA20" s="36">
        <v>55786</v>
      </c>
      <c r="CB20" s="36">
        <v>52678</v>
      </c>
      <c r="CC20" s="61">
        <f t="shared" si="50"/>
        <v>52678</v>
      </c>
      <c r="CD20" s="36">
        <v>50017</v>
      </c>
      <c r="CE20" s="36">
        <v>46866</v>
      </c>
      <c r="CF20" s="36">
        <v>36171</v>
      </c>
      <c r="CG20" s="36">
        <v>34120</v>
      </c>
      <c r="CH20" s="61">
        <f t="shared" si="51"/>
        <v>34120</v>
      </c>
      <c r="CI20" s="36">
        <v>32104</v>
      </c>
      <c r="CJ20" s="36">
        <v>30086</v>
      </c>
      <c r="CK20" s="36">
        <v>28056</v>
      </c>
      <c r="CL20" s="36">
        <v>26234</v>
      </c>
      <c r="CM20" s="61">
        <f t="shared" si="52"/>
        <v>26234</v>
      </c>
      <c r="CN20" s="36">
        <v>24802</v>
      </c>
      <c r="CO20" s="36">
        <v>23423</v>
      </c>
      <c r="CP20" s="36"/>
      <c r="CQ20" s="36"/>
      <c r="CR20" s="61">
        <f t="shared" si="53"/>
        <v>0</v>
      </c>
    </row>
    <row r="21" spans="1:96" ht="11.15" customHeight="1" x14ac:dyDescent="0.2">
      <c r="A21" s="6" t="s">
        <v>182</v>
      </c>
      <c r="B21" s="10"/>
      <c r="C21" s="39">
        <v>57545</v>
      </c>
      <c r="D21" s="39">
        <v>61232</v>
      </c>
      <c r="E21" s="39">
        <v>67153</v>
      </c>
      <c r="F21" s="61">
        <f t="shared" si="35"/>
        <v>67153</v>
      </c>
      <c r="G21" s="39">
        <v>73826</v>
      </c>
      <c r="H21" s="39">
        <v>81483</v>
      </c>
      <c r="I21" s="39">
        <v>89811</v>
      </c>
      <c r="J21" s="39">
        <v>96369</v>
      </c>
      <c r="K21" s="61">
        <f t="shared" si="36"/>
        <v>96369</v>
      </c>
      <c r="L21" s="39">
        <v>107010</v>
      </c>
      <c r="M21" s="39">
        <v>111207</v>
      </c>
      <c r="N21" s="39">
        <v>112479</v>
      </c>
      <c r="O21" s="39">
        <v>114492</v>
      </c>
      <c r="P21" s="61">
        <f t="shared" si="37"/>
        <v>114492</v>
      </c>
      <c r="Q21" s="39">
        <v>112865</v>
      </c>
      <c r="R21" s="39">
        <v>115258</v>
      </c>
      <c r="S21" s="39">
        <v>114957</v>
      </c>
      <c r="T21" s="39">
        <v>111453</v>
      </c>
      <c r="U21" s="61">
        <f t="shared" si="38"/>
        <v>111453</v>
      </c>
      <c r="V21" s="39">
        <v>109639</v>
      </c>
      <c r="W21" s="39">
        <v>106106</v>
      </c>
      <c r="X21" s="39">
        <v>111847</v>
      </c>
      <c r="Y21" s="39">
        <v>120683</v>
      </c>
      <c r="Z21" s="61">
        <f t="shared" si="39"/>
        <v>120683</v>
      </c>
      <c r="AA21" s="39">
        <v>131300</v>
      </c>
      <c r="AB21" s="39">
        <v>141902</v>
      </c>
      <c r="AC21" s="39">
        <v>143339</v>
      </c>
      <c r="AD21" s="39">
        <v>155202</v>
      </c>
      <c r="AE21" s="61">
        <f t="shared" si="40"/>
        <v>155202</v>
      </c>
      <c r="AF21" s="39">
        <v>169876</v>
      </c>
      <c r="AG21" s="39">
        <v>177441</v>
      </c>
      <c r="AH21" s="39">
        <v>195153</v>
      </c>
      <c r="AI21" s="39">
        <v>210563</v>
      </c>
      <c r="AJ21" s="61">
        <f t="shared" si="41"/>
        <v>210563</v>
      </c>
      <c r="AK21" s="39">
        <v>218995</v>
      </c>
      <c r="AL21" s="39">
        <v>225195</v>
      </c>
      <c r="AM21" s="39">
        <v>236507</v>
      </c>
      <c r="AN21" s="39">
        <v>252245</v>
      </c>
      <c r="AO21" s="61">
        <f>AN21</f>
        <v>252245</v>
      </c>
      <c r="AP21" s="39">
        <v>249361</v>
      </c>
      <c r="AQ21" s="39">
        <v>268122</v>
      </c>
      <c r="AR21" s="39">
        <v>271286</v>
      </c>
      <c r="AS21" s="39">
        <v>275082</v>
      </c>
      <c r="AT21" s="61">
        <f t="shared" si="43"/>
        <v>275082</v>
      </c>
      <c r="AU21" s="39">
        <v>274145</v>
      </c>
      <c r="AV21" s="39">
        <v>288553</v>
      </c>
      <c r="AW21" s="39">
        <v>286514</v>
      </c>
      <c r="AX21" s="39">
        <v>288604</v>
      </c>
      <c r="AY21" s="61">
        <f t="shared" si="44"/>
        <v>288604</v>
      </c>
      <c r="AZ21" s="39">
        <v>309206</v>
      </c>
      <c r="BA21" s="39">
        <v>350432</v>
      </c>
      <c r="BB21" s="39">
        <v>367474</v>
      </c>
      <c r="BC21" s="39">
        <v>379375</v>
      </c>
      <c r="BD21" s="61">
        <f t="shared" si="45"/>
        <v>379375</v>
      </c>
      <c r="BE21" s="39">
        <v>395858</v>
      </c>
      <c r="BF21" s="39">
        <v>389853</v>
      </c>
      <c r="BG21" s="39">
        <v>441494</v>
      </c>
      <c r="BH21" s="39">
        <v>460206</v>
      </c>
      <c r="BI21" s="61">
        <f t="shared" si="46"/>
        <v>460206</v>
      </c>
      <c r="BJ21" s="39">
        <v>479058</v>
      </c>
      <c r="BK21" s="36">
        <v>514767</v>
      </c>
      <c r="BL21" s="36">
        <v>529163</v>
      </c>
      <c r="BM21" s="39">
        <v>543068</v>
      </c>
      <c r="BN21" s="61">
        <f t="shared" si="47"/>
        <v>543068</v>
      </c>
      <c r="BO21" s="39">
        <v>570756</v>
      </c>
      <c r="BP21" s="36">
        <v>600977</v>
      </c>
      <c r="BQ21" s="36">
        <v>596138</v>
      </c>
      <c r="BR21" s="39">
        <v>600852</v>
      </c>
      <c r="BS21" s="61">
        <f t="shared" si="48"/>
        <v>600852</v>
      </c>
      <c r="BT21" s="39">
        <v>580980</v>
      </c>
      <c r="BU21" s="36">
        <v>585644</v>
      </c>
      <c r="BV21" s="36">
        <v>576398</v>
      </c>
      <c r="BW21" s="36">
        <v>597527</v>
      </c>
      <c r="BX21" s="61">
        <f t="shared" si="49"/>
        <v>597527</v>
      </c>
      <c r="BY21" s="39">
        <v>600911</v>
      </c>
      <c r="BZ21" s="36">
        <v>612420</v>
      </c>
      <c r="CA21" s="36">
        <v>624576</v>
      </c>
      <c r="CB21" s="36">
        <v>635302</v>
      </c>
      <c r="CC21" s="61">
        <f t="shared" si="50"/>
        <v>635302</v>
      </c>
      <c r="CD21" s="36">
        <v>625366</v>
      </c>
      <c r="CE21" s="36">
        <v>680321</v>
      </c>
      <c r="CF21" s="36">
        <v>661510</v>
      </c>
      <c r="CG21" s="36">
        <v>580561</v>
      </c>
      <c r="CH21" s="61">
        <f t="shared" si="51"/>
        <v>580561</v>
      </c>
      <c r="CI21" s="36">
        <v>594273</v>
      </c>
      <c r="CJ21" s="36">
        <v>609344</v>
      </c>
      <c r="CK21" s="36">
        <v>581970</v>
      </c>
      <c r="CL21" s="36">
        <v>602257</v>
      </c>
      <c r="CM21" s="61">
        <f t="shared" si="52"/>
        <v>602257</v>
      </c>
      <c r="CN21" s="36">
        <v>585751</v>
      </c>
      <c r="CO21" s="36">
        <v>593136</v>
      </c>
      <c r="CP21" s="36"/>
      <c r="CQ21" s="36"/>
      <c r="CR21" s="61">
        <f t="shared" si="53"/>
        <v>0</v>
      </c>
    </row>
    <row r="22" spans="1:96" ht="11.15" customHeight="1" x14ac:dyDescent="0.2">
      <c r="A22" s="6" t="s">
        <v>183</v>
      </c>
      <c r="B22" s="11"/>
      <c r="C22" s="36">
        <f>5303+629+38+1732</f>
        <v>7702</v>
      </c>
      <c r="D22" s="36">
        <f>1297+153+38</f>
        <v>1488</v>
      </c>
      <c r="E22" s="36">
        <v>5099</v>
      </c>
      <c r="F22" s="61">
        <f t="shared" si="35"/>
        <v>5099</v>
      </c>
      <c r="G22" s="36">
        <v>5854</v>
      </c>
      <c r="H22" s="36">
        <v>6498</v>
      </c>
      <c r="I22" s="36">
        <v>6911</v>
      </c>
      <c r="J22" s="36">
        <v>8466</v>
      </c>
      <c r="K22" s="61">
        <f t="shared" si="36"/>
        <v>8466</v>
      </c>
      <c r="L22" s="36">
        <v>12818</v>
      </c>
      <c r="M22" s="36">
        <v>13164</v>
      </c>
      <c r="N22" s="36">
        <v>14872</v>
      </c>
      <c r="O22" s="36">
        <v>15303</v>
      </c>
      <c r="P22" s="61">
        <f t="shared" si="37"/>
        <v>15303</v>
      </c>
      <c r="Q22" s="36">
        <v>14497</v>
      </c>
      <c r="R22" s="36">
        <v>15004</v>
      </c>
      <c r="S22" s="36">
        <v>15842</v>
      </c>
      <c r="T22" s="36">
        <v>15956</v>
      </c>
      <c r="U22" s="61">
        <f t="shared" si="38"/>
        <v>15956</v>
      </c>
      <c r="V22" s="36">
        <v>15859</v>
      </c>
      <c r="W22" s="36">
        <v>17413</v>
      </c>
      <c r="X22" s="36">
        <v>16499</v>
      </c>
      <c r="Y22" s="36">
        <v>8751</v>
      </c>
      <c r="Z22" s="61">
        <f t="shared" si="39"/>
        <v>8751</v>
      </c>
      <c r="AA22" s="36">
        <v>8868</v>
      </c>
      <c r="AB22" s="36">
        <v>7676</v>
      </c>
      <c r="AC22" s="36">
        <v>9656</v>
      </c>
      <c r="AD22" s="36">
        <v>7486</v>
      </c>
      <c r="AE22" s="61">
        <f t="shared" si="40"/>
        <v>7486</v>
      </c>
      <c r="AF22" s="36">
        <v>6303</v>
      </c>
      <c r="AG22" s="36">
        <v>6010</v>
      </c>
      <c r="AH22" s="36">
        <v>6719</v>
      </c>
      <c r="AI22" s="36">
        <v>7461</v>
      </c>
      <c r="AJ22" s="61">
        <f t="shared" si="41"/>
        <v>7461</v>
      </c>
      <c r="AK22" s="36">
        <v>6878</v>
      </c>
      <c r="AL22" s="36">
        <v>7662</v>
      </c>
      <c r="AM22" s="36">
        <v>7395</v>
      </c>
      <c r="AN22" s="36">
        <v>7810</v>
      </c>
      <c r="AO22" s="61">
        <f>AN22</f>
        <v>7810</v>
      </c>
      <c r="AP22" s="36">
        <v>7032</v>
      </c>
      <c r="AQ22" s="36">
        <v>19106</v>
      </c>
      <c r="AR22" s="36">
        <v>30872</v>
      </c>
      <c r="AS22" s="36">
        <v>26847</v>
      </c>
      <c r="AT22" s="61">
        <f t="shared" si="43"/>
        <v>26847</v>
      </c>
      <c r="AU22" s="36">
        <v>22787</v>
      </c>
      <c r="AV22" s="36">
        <v>21594</v>
      </c>
      <c r="AW22" s="36">
        <v>21131</v>
      </c>
      <c r="AX22" s="36">
        <v>20095</v>
      </c>
      <c r="AY22" s="61">
        <f t="shared" si="44"/>
        <v>20095</v>
      </c>
      <c r="AZ22" s="36">
        <v>19798</v>
      </c>
      <c r="BA22" s="36">
        <v>18333</v>
      </c>
      <c r="BB22" s="36">
        <v>19441</v>
      </c>
      <c r="BC22" s="36">
        <v>18603</v>
      </c>
      <c r="BD22" s="61">
        <f t="shared" si="45"/>
        <v>18603</v>
      </c>
      <c r="BE22" s="36">
        <v>20930</v>
      </c>
      <c r="BF22" s="36">
        <v>21050</v>
      </c>
      <c r="BG22" s="36">
        <v>20673</v>
      </c>
      <c r="BH22" s="36">
        <v>19009</v>
      </c>
      <c r="BI22" s="61">
        <f t="shared" si="46"/>
        <v>19009</v>
      </c>
      <c r="BJ22" s="36">
        <v>24134</v>
      </c>
      <c r="BK22" s="36">
        <v>44993</v>
      </c>
      <c r="BL22" s="36">
        <v>28043</v>
      </c>
      <c r="BM22" s="36">
        <v>18932</v>
      </c>
      <c r="BN22" s="61">
        <f t="shared" si="47"/>
        <v>18932</v>
      </c>
      <c r="BO22" s="36">
        <f>44819</f>
        <v>44819</v>
      </c>
      <c r="BP22" s="36">
        <v>51750</v>
      </c>
      <c r="BQ22" s="36">
        <v>50321</v>
      </c>
      <c r="BR22" s="36">
        <v>45192</v>
      </c>
      <c r="BS22" s="61">
        <f t="shared" si="48"/>
        <v>45192</v>
      </c>
      <c r="BT22" s="36">
        <v>39368</v>
      </c>
      <c r="BU22" s="36">
        <v>42116</v>
      </c>
      <c r="BV22" s="36">
        <v>45535</v>
      </c>
      <c r="BW22" s="36">
        <v>43419</v>
      </c>
      <c r="BX22" s="61">
        <f t="shared" si="49"/>
        <v>43419</v>
      </c>
      <c r="BY22" s="36">
        <v>37971</v>
      </c>
      <c r="BZ22" s="36">
        <v>39679</v>
      </c>
      <c r="CA22" s="36">
        <v>50660</v>
      </c>
      <c r="CB22" s="36">
        <v>48507</v>
      </c>
      <c r="CC22" s="61">
        <f t="shared" si="50"/>
        <v>48507</v>
      </c>
      <c r="CD22" s="36">
        <v>50569</v>
      </c>
      <c r="CE22" s="36">
        <v>50883</v>
      </c>
      <c r="CF22" s="36">
        <v>38466</v>
      </c>
      <c r="CG22" s="36">
        <v>28848</v>
      </c>
      <c r="CH22" s="61">
        <f t="shared" si="51"/>
        <v>28848</v>
      </c>
      <c r="CI22" s="36">
        <v>31715</v>
      </c>
      <c r="CJ22" s="36">
        <v>24781</v>
      </c>
      <c r="CK22" s="36">
        <v>24530</v>
      </c>
      <c r="CL22" s="36">
        <v>28425</v>
      </c>
      <c r="CM22" s="61">
        <f t="shared" si="52"/>
        <v>28425</v>
      </c>
      <c r="CN22" s="36">
        <v>35461</v>
      </c>
      <c r="CO22" s="36">
        <v>33777</v>
      </c>
      <c r="CP22" s="36"/>
      <c r="CQ22" s="36"/>
      <c r="CR22" s="61">
        <f t="shared" si="53"/>
        <v>0</v>
      </c>
    </row>
    <row r="23" spans="1:96" s="2" customFormat="1" ht="11.15" customHeight="1" thickBot="1" x14ac:dyDescent="0.3">
      <c r="A23" s="6" t="s">
        <v>184</v>
      </c>
      <c r="B23" s="24"/>
      <c r="C23" s="24">
        <f>C16+SUM(C18:C22)</f>
        <v>133728</v>
      </c>
      <c r="D23" s="24">
        <f>D16+SUM(D18:D22)</f>
        <v>141401</v>
      </c>
      <c r="E23" s="24">
        <f>E16+SUM(E18:E22)</f>
        <v>232492</v>
      </c>
      <c r="F23" s="73">
        <f t="shared" si="35"/>
        <v>232492</v>
      </c>
      <c r="G23" s="24">
        <f>G16+SUM(G18:G22)</f>
        <v>220424</v>
      </c>
      <c r="H23" s="24">
        <f>H16+SUM(H18:H22)</f>
        <v>240125</v>
      </c>
      <c r="I23" s="24">
        <f>I16+SUM(I18:I22)</f>
        <v>258212</v>
      </c>
      <c r="J23" s="24">
        <f>J16+SUM(J18:J22)</f>
        <v>263321</v>
      </c>
      <c r="K23" s="73">
        <f t="shared" si="36"/>
        <v>263321</v>
      </c>
      <c r="L23" s="24">
        <f>L16+SUM(L18:L22)</f>
        <v>287755</v>
      </c>
      <c r="M23" s="24">
        <f>M16+SUM(M18:M22)</f>
        <v>303031</v>
      </c>
      <c r="N23" s="24">
        <f>N16+SUM(N18:N22)</f>
        <v>303917</v>
      </c>
      <c r="O23" s="24">
        <f>O16+SUM(O18:O22)</f>
        <v>313218</v>
      </c>
      <c r="P23" s="73">
        <f t="shared" si="37"/>
        <v>313218</v>
      </c>
      <c r="Q23" s="24">
        <f>Q16+SUM(Q18:Q22)</f>
        <v>313805</v>
      </c>
      <c r="R23" s="24">
        <f>R16+SUM(R18:R22)</f>
        <v>323101</v>
      </c>
      <c r="S23" s="24">
        <f>S16+SUM(S18:S22)</f>
        <v>318939</v>
      </c>
      <c r="T23" s="24">
        <f>T16+SUM(T18:T22)</f>
        <v>312636</v>
      </c>
      <c r="U23" s="73">
        <f t="shared" si="38"/>
        <v>312636</v>
      </c>
      <c r="V23" s="24">
        <f>V16+SUM(V18:V22)</f>
        <v>315207</v>
      </c>
      <c r="W23" s="24">
        <f>W16+SUM(W18:W22)</f>
        <v>333724</v>
      </c>
      <c r="X23" s="24">
        <f>X16+SUM(X18:X22)</f>
        <v>373976</v>
      </c>
      <c r="Y23" s="24">
        <f>Y16+SUM(Y18:Y22)</f>
        <v>441855</v>
      </c>
      <c r="Z23" s="73">
        <f t="shared" si="39"/>
        <v>441855</v>
      </c>
      <c r="AA23" s="24">
        <f>AA16+SUM(AA18:AA22)</f>
        <v>489567</v>
      </c>
      <c r="AB23" s="24">
        <f>AB16+SUM(AB18:AB22)</f>
        <v>561381</v>
      </c>
      <c r="AC23" s="24">
        <f>AC16+SUM(AC18:AC22)</f>
        <v>596324</v>
      </c>
      <c r="AD23" s="24">
        <f>AD16+SUM(AD18:AD22)</f>
        <v>608132</v>
      </c>
      <c r="AE23" s="73">
        <f t="shared" si="40"/>
        <v>608132</v>
      </c>
      <c r="AF23" s="24">
        <f>AF16+SUM(AF18:AF22)</f>
        <v>834905</v>
      </c>
      <c r="AG23" s="24">
        <f>AG16+SUM(AG18:AG22)</f>
        <v>798014</v>
      </c>
      <c r="AH23" s="24">
        <f>AH16+SUM(AH18:AH22)</f>
        <v>878385</v>
      </c>
      <c r="AI23" s="24">
        <f>AI16+SUM(AI18:AI22)</f>
        <v>895498</v>
      </c>
      <c r="AJ23" s="73">
        <f t="shared" si="41"/>
        <v>895498</v>
      </c>
      <c r="AK23" s="24">
        <f>AK16+SUM(AK18:AK22)</f>
        <v>892258</v>
      </c>
      <c r="AL23" s="24">
        <f>AL16+SUM(AL18:AL22)</f>
        <v>939255</v>
      </c>
      <c r="AM23" s="24">
        <f>AM16+SUM(AM18:AM22)</f>
        <v>1009796</v>
      </c>
      <c r="AN23" s="24">
        <f>AN16+SUM(AN18:AN22)</f>
        <v>1061216</v>
      </c>
      <c r="AO23" s="73">
        <f>AN23</f>
        <v>1061216</v>
      </c>
      <c r="AP23" s="24">
        <f>AP16+SUM(AP18:AP22)</f>
        <v>1097013</v>
      </c>
      <c r="AQ23" s="24">
        <f>AQ16+SUM(AQ18:AQ22)</f>
        <v>1158386</v>
      </c>
      <c r="AR23" s="24">
        <f>AR16+SUM(AR18:AR22)</f>
        <v>1185388</v>
      </c>
      <c r="AS23" s="24">
        <f>AS16+SUM(AS18:AS22)</f>
        <v>1210887</v>
      </c>
      <c r="AT23" s="73">
        <f t="shared" si="43"/>
        <v>1210887</v>
      </c>
      <c r="AU23" s="24">
        <f>AU16+SUM(AU18:AU22)</f>
        <v>1249260</v>
      </c>
      <c r="AV23" s="24">
        <f>AV16+SUM(AV18:AV22)</f>
        <v>1334541</v>
      </c>
      <c r="AW23" s="24">
        <f>AW16+SUM(AW18:AW22)</f>
        <v>1408206</v>
      </c>
      <c r="AX23" s="24">
        <f>AX16+SUM(AX18:AX22)</f>
        <v>1453429</v>
      </c>
      <c r="AY23" s="73">
        <f t="shared" si="44"/>
        <v>1453429</v>
      </c>
      <c r="AZ23" s="24">
        <f>AZ16+SUM(AZ18:AZ22)</f>
        <v>1550100</v>
      </c>
      <c r="BA23" s="24">
        <f>BA16+SUM(BA18:BA22)</f>
        <v>1629307</v>
      </c>
      <c r="BB23" s="24">
        <f>BB16+SUM(BB18:BB22)</f>
        <v>1727298</v>
      </c>
      <c r="BC23" s="24">
        <f>BC16+SUM(BC18:BC22)</f>
        <v>1789999</v>
      </c>
      <c r="BD23" s="73">
        <f t="shared" si="45"/>
        <v>1789999</v>
      </c>
      <c r="BE23" s="24">
        <f>BE16+SUM(BE18:BE22)</f>
        <v>1902573</v>
      </c>
      <c r="BF23" s="24">
        <f>BF16+SUM(BF18:BF22)</f>
        <v>2030542</v>
      </c>
      <c r="BG23" s="24">
        <f>BG16+SUM(BG18:BG22)</f>
        <v>2246065</v>
      </c>
      <c r="BH23" s="24">
        <f>BH16+SUM(BH18:BH22)</f>
        <v>2367255</v>
      </c>
      <c r="BI23" s="73">
        <f t="shared" si="46"/>
        <v>2367255</v>
      </c>
      <c r="BJ23" s="24">
        <f>BJ16+SUM(BJ18:BJ22)</f>
        <v>2498007</v>
      </c>
      <c r="BK23" s="24">
        <f>BK16+SUM(BK18:BK22)</f>
        <v>2530478</v>
      </c>
      <c r="BL23" s="24">
        <f>BL16+SUM(BL18:BL22)</f>
        <v>2562099</v>
      </c>
      <c r="BM23" s="24">
        <f>BM16+SUM(BM18:BM22)</f>
        <v>2574450</v>
      </c>
      <c r="BN23" s="73">
        <f t="shared" si="47"/>
        <v>2574450</v>
      </c>
      <c r="BO23" s="24">
        <f>BO16+SUM(BO18:BO22)</f>
        <v>2628736</v>
      </c>
      <c r="BP23" s="24">
        <f>BP16+SUM(BP18:BP22)</f>
        <v>2737416</v>
      </c>
      <c r="BQ23" s="24">
        <f>BQ16+SUM(BQ18:BQ22)</f>
        <v>2730904</v>
      </c>
      <c r="BR23" s="24">
        <f>BR16+SUM(BR18:BR22)</f>
        <v>2730436</v>
      </c>
      <c r="BS23" s="73">
        <f t="shared" si="48"/>
        <v>2730436</v>
      </c>
      <c r="BT23" s="24">
        <f>BT16+SUM(BT18:BT22)</f>
        <v>2680134</v>
      </c>
      <c r="BU23" s="24">
        <f>BU16+SUM(BU18:BU22)</f>
        <v>2758736</v>
      </c>
      <c r="BV23" s="24">
        <f>BV16+SUM(BV18:BV22)</f>
        <v>2794932</v>
      </c>
      <c r="BW23" s="24">
        <f>BW16+SUM(BW18:BW22)</f>
        <v>2935700</v>
      </c>
      <c r="BX23" s="73">
        <f t="shared" si="49"/>
        <v>2935700</v>
      </c>
      <c r="BY23" s="24">
        <f>BY16+SUM(BY18:BY22)</f>
        <v>2982951</v>
      </c>
      <c r="BZ23" s="24">
        <f>BZ16+SUM(BZ18:BZ22)</f>
        <v>3086512</v>
      </c>
      <c r="CA23" s="24">
        <f>CA16+SUM(CA18:CA22)</f>
        <v>3143910</v>
      </c>
      <c r="CB23" s="24">
        <f>CB16+SUM(CB18:CB22)</f>
        <v>3170540</v>
      </c>
      <c r="CC23" s="73">
        <f t="shared" si="50"/>
        <v>3170540</v>
      </c>
      <c r="CD23" s="24">
        <f>CD16+SUM(CD18:CD22)</f>
        <v>3098469</v>
      </c>
      <c r="CE23" s="24">
        <f>CE16+SUM(CE18:CE22)</f>
        <v>3048769</v>
      </c>
      <c r="CF23" s="24">
        <f>CF16+SUM(CF18:CF22)</f>
        <v>2962520</v>
      </c>
      <c r="CG23" s="24">
        <f>CG16+SUM(CG18:CG22)</f>
        <v>2743280</v>
      </c>
      <c r="CH23" s="73">
        <f t="shared" si="51"/>
        <v>2743280</v>
      </c>
      <c r="CI23" s="24">
        <f>CI16+SUM(CI18:CI22)</f>
        <v>2671156</v>
      </c>
      <c r="CJ23" s="24">
        <f>CJ16+SUM(CJ18:CJ22)</f>
        <v>2696417</v>
      </c>
      <c r="CK23" s="24">
        <f>CK16+SUM(CK18:CK22)</f>
        <v>2672864</v>
      </c>
      <c r="CL23" s="24">
        <f>CL16+SUM(CL18:CL22)</f>
        <v>2698898</v>
      </c>
      <c r="CM23" s="73">
        <f t="shared" si="52"/>
        <v>2698898</v>
      </c>
      <c r="CN23" s="24">
        <f>CN16+SUM(CN18:CN22)</f>
        <v>2598436</v>
      </c>
      <c r="CO23" s="24">
        <f>CO16+SUM(CO18:CO22)</f>
        <v>2495431</v>
      </c>
      <c r="CP23" s="24">
        <f>CP16+SUM(CP18:CP22)</f>
        <v>0</v>
      </c>
      <c r="CQ23" s="24">
        <f>CQ16+SUM(CQ18:CQ22)</f>
        <v>0</v>
      </c>
      <c r="CR23" s="73">
        <f t="shared" si="53"/>
        <v>0</v>
      </c>
    </row>
    <row r="24" spans="1:96" s="2" customFormat="1" ht="11.15" customHeight="1" thickTop="1" x14ac:dyDescent="0.25">
      <c r="A24" s="21"/>
      <c r="B24" s="11"/>
      <c r="C24" s="11"/>
      <c r="D24" s="11"/>
      <c r="E24" s="11"/>
      <c r="F24" s="61"/>
      <c r="G24" s="11"/>
      <c r="H24" s="11"/>
      <c r="I24" s="11"/>
      <c r="J24" s="11"/>
      <c r="K24" s="61"/>
      <c r="L24" s="11"/>
      <c r="M24" s="11"/>
      <c r="N24" s="11"/>
      <c r="O24" s="11"/>
      <c r="P24" s="61"/>
      <c r="Q24" s="11"/>
      <c r="R24" s="11"/>
      <c r="S24" s="11"/>
      <c r="T24" s="11"/>
      <c r="U24" s="61"/>
      <c r="V24" s="11"/>
      <c r="W24" s="11"/>
      <c r="X24" s="11"/>
      <c r="Y24" s="11"/>
      <c r="Z24" s="61"/>
      <c r="AA24" s="11"/>
      <c r="AB24" s="11"/>
      <c r="AC24" s="11"/>
      <c r="AD24" s="11"/>
      <c r="AE24" s="61"/>
      <c r="AF24" s="11"/>
      <c r="AG24" s="11"/>
      <c r="AH24" s="11"/>
      <c r="AI24" s="11"/>
      <c r="AJ24" s="61"/>
      <c r="AK24" s="11"/>
      <c r="AL24" s="11"/>
      <c r="AM24" s="11"/>
      <c r="AN24" s="11"/>
      <c r="AO24" s="61"/>
      <c r="AP24" s="11"/>
      <c r="AQ24" s="11"/>
      <c r="AR24" s="11"/>
      <c r="AS24" s="11"/>
      <c r="AT24" s="61"/>
      <c r="AU24" s="11"/>
      <c r="AV24" s="11"/>
      <c r="AW24" s="11"/>
      <c r="AX24" s="11"/>
      <c r="AY24" s="61"/>
      <c r="AZ24" s="11"/>
      <c r="BA24" s="11"/>
      <c r="BB24" s="11"/>
      <c r="BC24" s="11"/>
      <c r="BD24" s="61"/>
      <c r="BE24" s="11"/>
      <c r="BF24" s="11"/>
      <c r="BG24" s="11"/>
      <c r="BH24" s="11"/>
      <c r="BI24" s="61"/>
      <c r="BJ24" s="11"/>
      <c r="BK24" s="11"/>
      <c r="BL24" s="11"/>
      <c r="BM24" s="11"/>
      <c r="BN24" s="61"/>
      <c r="BO24" s="11"/>
      <c r="BP24" s="11"/>
      <c r="BQ24" s="11"/>
      <c r="BR24" s="11"/>
      <c r="BS24" s="61"/>
      <c r="BT24" s="11"/>
      <c r="BU24" s="11"/>
      <c r="BV24" s="11"/>
      <c r="BW24" s="11"/>
      <c r="BX24" s="61"/>
      <c r="BY24" s="11"/>
      <c r="BZ24" s="11"/>
      <c r="CA24" s="11"/>
      <c r="CB24" s="11"/>
      <c r="CC24" s="61"/>
      <c r="CD24" s="11"/>
      <c r="CE24" s="11"/>
      <c r="CF24" s="11"/>
      <c r="CG24" s="11"/>
      <c r="CH24" s="61"/>
      <c r="CI24" s="11"/>
      <c r="CJ24" s="11"/>
      <c r="CK24" s="11"/>
      <c r="CL24" s="11"/>
      <c r="CM24" s="61"/>
      <c r="CN24" s="11"/>
      <c r="CO24" s="11"/>
      <c r="CP24" s="11"/>
      <c r="CQ24" s="11"/>
      <c r="CR24" s="61"/>
    </row>
    <row r="25" spans="1:96" ht="11.15" customHeight="1" x14ac:dyDescent="0.25">
      <c r="A25" s="35" t="s">
        <v>55</v>
      </c>
      <c r="B25" s="10"/>
      <c r="C25" s="10"/>
      <c r="D25" s="10"/>
      <c r="E25" s="10"/>
      <c r="F25" s="61"/>
      <c r="G25" s="10"/>
      <c r="H25" s="10"/>
      <c r="I25" s="10"/>
      <c r="J25" s="10"/>
      <c r="K25" s="61"/>
      <c r="L25" s="10"/>
      <c r="M25" s="10"/>
      <c r="N25" s="10"/>
      <c r="O25" s="10"/>
      <c r="P25" s="61"/>
      <c r="Q25" s="10"/>
      <c r="R25" s="10"/>
      <c r="S25" s="10"/>
      <c r="T25" s="10"/>
      <c r="U25" s="61"/>
      <c r="V25" s="10"/>
      <c r="W25" s="10"/>
      <c r="X25" s="10"/>
      <c r="Y25" s="10"/>
      <c r="Z25" s="61"/>
      <c r="AA25" s="10"/>
      <c r="AB25" s="10"/>
      <c r="AC25" s="10"/>
      <c r="AD25" s="10"/>
      <c r="AE25" s="61"/>
      <c r="AF25" s="10"/>
      <c r="AG25" s="10"/>
      <c r="AH25" s="10"/>
      <c r="AI25" s="10"/>
      <c r="AJ25" s="61"/>
      <c r="AK25" s="10"/>
      <c r="AL25" s="10"/>
      <c r="AM25" s="10"/>
      <c r="AN25" s="10"/>
      <c r="AO25" s="61"/>
      <c r="AP25" s="10"/>
      <c r="AQ25" s="10"/>
      <c r="AR25" s="10"/>
      <c r="AS25" s="10"/>
      <c r="AT25" s="61"/>
      <c r="AU25" s="10"/>
      <c r="AV25" s="10"/>
      <c r="AW25" s="10"/>
      <c r="AX25" s="10"/>
      <c r="AY25" s="61"/>
      <c r="AZ25" s="10"/>
      <c r="BA25" s="10"/>
      <c r="BB25" s="10"/>
      <c r="BC25" s="10"/>
      <c r="BD25" s="61"/>
      <c r="BE25" s="10"/>
      <c r="BF25" s="10"/>
      <c r="BG25" s="10"/>
      <c r="BH25" s="10"/>
      <c r="BI25" s="61"/>
      <c r="BJ25" s="10"/>
      <c r="BK25" s="10"/>
      <c r="BL25" s="10"/>
      <c r="BM25" s="10"/>
      <c r="BN25" s="61"/>
      <c r="BO25" s="10"/>
      <c r="BP25" s="10"/>
      <c r="BQ25" s="10"/>
      <c r="BR25" s="10"/>
      <c r="BS25" s="61"/>
      <c r="BT25" s="10"/>
      <c r="BU25" s="10"/>
      <c r="BV25" s="10"/>
      <c r="BW25" s="10"/>
      <c r="BX25" s="61"/>
      <c r="BY25" s="10"/>
      <c r="BZ25" s="10"/>
      <c r="CA25" s="10"/>
      <c r="CB25" s="10"/>
      <c r="CC25" s="61"/>
      <c r="CD25" s="10"/>
      <c r="CE25" s="10"/>
      <c r="CF25" s="10"/>
      <c r="CG25" s="10"/>
      <c r="CH25" s="61"/>
      <c r="CI25" s="10"/>
      <c r="CJ25" s="10"/>
      <c r="CK25" s="10"/>
      <c r="CL25" s="10"/>
      <c r="CM25" s="61"/>
      <c r="CN25" s="10"/>
      <c r="CO25" s="10"/>
      <c r="CP25" s="10"/>
      <c r="CQ25" s="10"/>
      <c r="CR25" s="61"/>
    </row>
    <row r="26" spans="1:96" ht="11.15" customHeight="1" x14ac:dyDescent="0.2">
      <c r="A26" s="6" t="s">
        <v>185</v>
      </c>
      <c r="B26" s="10"/>
      <c r="C26" s="10"/>
      <c r="D26" s="10"/>
      <c r="E26" s="10"/>
      <c r="F26" s="61"/>
      <c r="G26" s="10"/>
      <c r="H26" s="10"/>
      <c r="I26" s="10"/>
      <c r="J26" s="10"/>
      <c r="K26" s="61"/>
      <c r="L26" s="10"/>
      <c r="M26" s="10"/>
      <c r="N26" s="10"/>
      <c r="O26" s="10"/>
      <c r="P26" s="61"/>
      <c r="Q26" s="10"/>
      <c r="R26" s="10"/>
      <c r="S26" s="10"/>
      <c r="T26" s="10"/>
      <c r="U26" s="61"/>
      <c r="V26" s="10"/>
      <c r="W26" s="10"/>
      <c r="X26" s="10"/>
      <c r="Y26" s="10"/>
      <c r="Z26" s="61"/>
      <c r="AA26" s="10"/>
      <c r="AB26" s="10"/>
      <c r="AC26" s="10"/>
      <c r="AD26" s="10"/>
      <c r="AE26" s="61"/>
      <c r="AF26" s="10"/>
      <c r="AG26" s="10"/>
      <c r="AH26" s="10"/>
      <c r="AI26" s="10"/>
      <c r="AJ26" s="61"/>
      <c r="AK26" s="10"/>
      <c r="AL26" s="10"/>
      <c r="AM26" s="10"/>
      <c r="AN26" s="10"/>
      <c r="AO26" s="61"/>
      <c r="AP26" s="10"/>
      <c r="AQ26" s="10"/>
      <c r="AR26" s="10"/>
      <c r="AS26" s="10"/>
      <c r="AT26" s="61"/>
      <c r="AU26" s="10"/>
      <c r="AV26" s="10"/>
      <c r="AW26" s="10"/>
      <c r="AX26" s="10"/>
      <c r="AY26" s="61"/>
      <c r="AZ26" s="10"/>
      <c r="BA26" s="10"/>
      <c r="BB26" s="10"/>
      <c r="BC26" s="10"/>
      <c r="BD26" s="61"/>
      <c r="BE26" s="10"/>
      <c r="BF26" s="10"/>
      <c r="BG26" s="10"/>
      <c r="BH26" s="10"/>
      <c r="BI26" s="61"/>
      <c r="BJ26" s="10"/>
      <c r="BK26" s="10"/>
      <c r="BL26" s="10"/>
      <c r="BM26" s="10"/>
      <c r="BN26" s="61"/>
      <c r="BO26" s="10"/>
      <c r="BP26" s="10"/>
      <c r="BQ26" s="10"/>
      <c r="BR26" s="10"/>
      <c r="BS26" s="61"/>
      <c r="BT26" s="10"/>
      <c r="BU26" s="10"/>
      <c r="BV26" s="10"/>
      <c r="BW26" s="10"/>
      <c r="BX26" s="61"/>
      <c r="BY26" s="10"/>
      <c r="BZ26" s="10"/>
      <c r="CA26" s="10"/>
      <c r="CB26" s="10"/>
      <c r="CC26" s="61"/>
      <c r="CD26" s="10"/>
      <c r="CE26" s="10"/>
      <c r="CF26" s="10"/>
      <c r="CG26" s="10"/>
      <c r="CH26" s="61"/>
      <c r="CI26" s="10"/>
      <c r="CJ26" s="10"/>
      <c r="CK26" s="10"/>
      <c r="CL26" s="10"/>
      <c r="CM26" s="61"/>
      <c r="CN26" s="10"/>
      <c r="CO26" s="10"/>
      <c r="CP26" s="10"/>
      <c r="CQ26" s="10"/>
      <c r="CR26" s="61"/>
    </row>
    <row r="27" spans="1:96" ht="11.15" customHeight="1" x14ac:dyDescent="0.2">
      <c r="A27" s="7" t="s">
        <v>76</v>
      </c>
      <c r="B27" s="10"/>
      <c r="C27" s="39">
        <v>11011</v>
      </c>
      <c r="D27" s="39">
        <v>7886</v>
      </c>
      <c r="E27" s="39">
        <v>2603</v>
      </c>
      <c r="F27" s="61">
        <f t="shared" ref="F27:F33" si="54">E27</f>
        <v>2603</v>
      </c>
      <c r="G27" s="39">
        <v>848</v>
      </c>
      <c r="H27" s="39">
        <v>10732</v>
      </c>
      <c r="I27" s="39">
        <v>15566</v>
      </c>
      <c r="J27" s="39">
        <v>11218</v>
      </c>
      <c r="K27" s="61">
        <f t="shared" ref="K27:K33" si="55">J27</f>
        <v>11218</v>
      </c>
      <c r="L27" s="39">
        <v>15336</v>
      </c>
      <c r="M27" s="39">
        <v>19850</v>
      </c>
      <c r="N27" s="39">
        <v>16001</v>
      </c>
      <c r="O27" s="39">
        <v>19769</v>
      </c>
      <c r="P27" s="61">
        <f t="shared" ref="P27:P33" si="56">O27</f>
        <v>19769</v>
      </c>
      <c r="Q27" s="39">
        <v>29760</v>
      </c>
      <c r="R27" s="39">
        <v>31401</v>
      </c>
      <c r="S27" s="39">
        <v>15476</v>
      </c>
      <c r="T27" s="39">
        <v>6007</v>
      </c>
      <c r="U27" s="61">
        <f t="shared" ref="U27:U33" si="57">T27</f>
        <v>6007</v>
      </c>
      <c r="V27" s="39">
        <v>7098</v>
      </c>
      <c r="W27" s="39">
        <v>6300</v>
      </c>
      <c r="X27" s="39">
        <v>4634</v>
      </c>
      <c r="Y27" s="39">
        <v>6841</v>
      </c>
      <c r="Z27" s="61">
        <f t="shared" ref="Z27:Z33" si="58">Y27</f>
        <v>6841</v>
      </c>
      <c r="AA27" s="39">
        <v>6587</v>
      </c>
      <c r="AB27" s="39">
        <v>7205</v>
      </c>
      <c r="AC27" s="39">
        <v>7731</v>
      </c>
      <c r="AD27" s="39">
        <v>7057</v>
      </c>
      <c r="AE27" s="61">
        <f t="shared" ref="AE27:AE33" si="59">AD27</f>
        <v>7057</v>
      </c>
      <c r="AF27" s="39">
        <v>9652</v>
      </c>
      <c r="AG27" s="39">
        <v>4037</v>
      </c>
      <c r="AH27" s="39">
        <v>4900</v>
      </c>
      <c r="AI27" s="39">
        <v>2442</v>
      </c>
      <c r="AJ27" s="61">
        <f t="shared" ref="AJ27:AJ33" si="60">AI27</f>
        <v>2442</v>
      </c>
      <c r="AK27" s="39">
        <v>9802</v>
      </c>
      <c r="AL27" s="39">
        <v>1822</v>
      </c>
      <c r="AM27" s="39">
        <v>1547</v>
      </c>
      <c r="AN27" s="39">
        <v>3296</v>
      </c>
      <c r="AO27" s="61">
        <f t="shared" ref="AO27:AO33" si="61">AN27</f>
        <v>3296</v>
      </c>
      <c r="AP27" s="39">
        <v>2300</v>
      </c>
      <c r="AQ27" s="39">
        <v>2724</v>
      </c>
      <c r="AR27" s="39">
        <v>2276</v>
      </c>
      <c r="AS27" s="39">
        <v>2631</v>
      </c>
      <c r="AT27" s="61">
        <f t="shared" ref="AT27:AT35" si="62">AS27</f>
        <v>2631</v>
      </c>
      <c r="AU27" s="39">
        <v>523</v>
      </c>
      <c r="AV27" s="39">
        <v>1600</v>
      </c>
      <c r="AW27" s="39">
        <v>248</v>
      </c>
      <c r="AX27" s="39">
        <v>0</v>
      </c>
      <c r="AY27" s="61">
        <f t="shared" ref="AY27:AY35" si="63">AX27</f>
        <v>0</v>
      </c>
      <c r="AZ27" s="39">
        <v>0</v>
      </c>
      <c r="BA27" s="39">
        <v>0</v>
      </c>
      <c r="BB27" s="39">
        <v>0</v>
      </c>
      <c r="BC27" s="39">
        <v>0</v>
      </c>
      <c r="BD27" s="61">
        <f t="shared" ref="BD27:BD33" si="64">BC27</f>
        <v>0</v>
      </c>
      <c r="BE27" s="39">
        <v>0</v>
      </c>
      <c r="BF27" s="39">
        <v>0</v>
      </c>
      <c r="BG27" s="39">
        <v>0</v>
      </c>
      <c r="BH27" s="39">
        <v>0</v>
      </c>
      <c r="BI27" s="61">
        <f t="shared" ref="BI27:BI35" si="65">BH27</f>
        <v>0</v>
      </c>
      <c r="BJ27" s="39">
        <v>0</v>
      </c>
      <c r="BK27" s="39">
        <v>0</v>
      </c>
      <c r="BL27" s="36">
        <v>0</v>
      </c>
      <c r="BM27" s="39">
        <v>0</v>
      </c>
      <c r="BN27" s="61">
        <f t="shared" ref="BN27:BN35" si="66">BM27</f>
        <v>0</v>
      </c>
      <c r="BO27" s="39">
        <v>0</v>
      </c>
      <c r="BP27" s="39">
        <v>0</v>
      </c>
      <c r="BQ27" s="39">
        <v>0</v>
      </c>
      <c r="BR27" s="39">
        <v>0</v>
      </c>
      <c r="BS27" s="61">
        <f t="shared" ref="BS27:BS35" si="67">BR27</f>
        <v>0</v>
      </c>
      <c r="BT27" s="39">
        <v>0</v>
      </c>
      <c r="BU27" s="39">
        <v>0</v>
      </c>
      <c r="BV27" s="39">
        <v>0</v>
      </c>
      <c r="BW27" s="39">
        <v>0</v>
      </c>
      <c r="BX27" s="61">
        <f t="shared" ref="BX27:BX35" si="68">BW27</f>
        <v>0</v>
      </c>
      <c r="BY27" s="39">
        <v>0</v>
      </c>
      <c r="BZ27" s="39">
        <v>0</v>
      </c>
      <c r="CA27" s="39">
        <v>0</v>
      </c>
      <c r="CB27" s="39">
        <v>0</v>
      </c>
      <c r="CC27" s="61">
        <f>CB27</f>
        <v>0</v>
      </c>
      <c r="CD27" s="39">
        <v>0</v>
      </c>
      <c r="CE27" s="39">
        <v>0</v>
      </c>
      <c r="CF27" s="39">
        <v>0</v>
      </c>
      <c r="CG27" s="39">
        <v>0</v>
      </c>
      <c r="CH27" s="61">
        <f>CG27</f>
        <v>0</v>
      </c>
      <c r="CI27" s="39">
        <v>0</v>
      </c>
      <c r="CJ27" s="39">
        <v>0</v>
      </c>
      <c r="CK27" s="39">
        <v>0</v>
      </c>
      <c r="CL27" s="39">
        <v>0</v>
      </c>
      <c r="CM27" s="61">
        <f>CL27</f>
        <v>0</v>
      </c>
      <c r="CN27" s="39">
        <v>0</v>
      </c>
      <c r="CO27" s="39">
        <v>0</v>
      </c>
      <c r="CP27" s="39"/>
      <c r="CQ27" s="39"/>
      <c r="CR27" s="61">
        <f>CQ27</f>
        <v>0</v>
      </c>
    </row>
    <row r="28" spans="1:96" ht="11.15" customHeight="1" x14ac:dyDescent="0.2">
      <c r="A28" s="7" t="s">
        <v>56</v>
      </c>
      <c r="B28" s="11"/>
      <c r="C28" s="36">
        <v>15301</v>
      </c>
      <c r="D28" s="36">
        <v>10025</v>
      </c>
      <c r="E28" s="36">
        <v>8299</v>
      </c>
      <c r="F28" s="61">
        <f t="shared" si="54"/>
        <v>8299</v>
      </c>
      <c r="G28" s="36">
        <v>0</v>
      </c>
      <c r="H28" s="36">
        <v>0</v>
      </c>
      <c r="I28" s="36">
        <v>0</v>
      </c>
      <c r="J28" s="36">
        <v>0</v>
      </c>
      <c r="K28" s="61">
        <f t="shared" si="55"/>
        <v>0</v>
      </c>
      <c r="L28" s="36">
        <v>0</v>
      </c>
      <c r="M28" s="36">
        <v>1333</v>
      </c>
      <c r="N28" s="36">
        <v>1333</v>
      </c>
      <c r="O28" s="36">
        <v>1333</v>
      </c>
      <c r="P28" s="61">
        <f t="shared" si="56"/>
        <v>1333</v>
      </c>
      <c r="Q28" s="36">
        <v>1333</v>
      </c>
      <c r="R28" s="36">
        <v>1333</v>
      </c>
      <c r="S28" s="36">
        <v>1333</v>
      </c>
      <c r="T28" s="36">
        <v>1333</v>
      </c>
      <c r="U28" s="61">
        <f t="shared" si="57"/>
        <v>1333</v>
      </c>
      <c r="V28" s="36">
        <v>1333</v>
      </c>
      <c r="W28" s="36">
        <v>1333</v>
      </c>
      <c r="X28" s="36">
        <v>1333</v>
      </c>
      <c r="Y28" s="36">
        <v>1333</v>
      </c>
      <c r="Z28" s="61">
        <f t="shared" si="58"/>
        <v>1333</v>
      </c>
      <c r="AA28" s="36">
        <v>1531</v>
      </c>
      <c r="AB28" s="36">
        <v>1586</v>
      </c>
      <c r="AC28" s="36">
        <v>1546</v>
      </c>
      <c r="AD28" s="36">
        <v>1613</v>
      </c>
      <c r="AE28" s="61">
        <f t="shared" si="59"/>
        <v>1613</v>
      </c>
      <c r="AF28" s="36">
        <v>1575</v>
      </c>
      <c r="AG28" s="36">
        <v>1580</v>
      </c>
      <c r="AH28" s="36">
        <v>1572</v>
      </c>
      <c r="AI28" s="36">
        <v>1505</v>
      </c>
      <c r="AJ28" s="61">
        <f t="shared" si="60"/>
        <v>1505</v>
      </c>
      <c r="AK28" s="36">
        <v>1529</v>
      </c>
      <c r="AL28" s="36">
        <v>1333</v>
      </c>
      <c r="AM28" s="36">
        <v>1333</v>
      </c>
      <c r="AN28" s="36">
        <v>1333</v>
      </c>
      <c r="AO28" s="61">
        <f t="shared" si="61"/>
        <v>1333</v>
      </c>
      <c r="AP28" s="36">
        <v>1333</v>
      </c>
      <c r="AQ28" s="36">
        <v>12000</v>
      </c>
      <c r="AR28" s="36">
        <v>11667</v>
      </c>
      <c r="AS28" s="36">
        <v>13333</v>
      </c>
      <c r="AT28" s="61">
        <f t="shared" si="62"/>
        <v>13333</v>
      </c>
      <c r="AU28" s="36">
        <v>13000</v>
      </c>
      <c r="AV28" s="36">
        <v>2000</v>
      </c>
      <c r="AW28" s="36">
        <v>2000</v>
      </c>
      <c r="AX28" s="36">
        <v>2000</v>
      </c>
      <c r="AY28" s="61">
        <f t="shared" si="63"/>
        <v>2000</v>
      </c>
      <c r="AZ28" s="36">
        <v>2000</v>
      </c>
      <c r="BA28" s="36">
        <v>3188</v>
      </c>
      <c r="BB28" s="36">
        <v>3188</v>
      </c>
      <c r="BC28" s="36">
        <v>3188</v>
      </c>
      <c r="BD28" s="61">
        <f t="shared" si="64"/>
        <v>3188</v>
      </c>
      <c r="BE28" s="36">
        <v>3188</v>
      </c>
      <c r="BF28" s="36">
        <v>1188</v>
      </c>
      <c r="BG28" s="36">
        <v>3576</v>
      </c>
      <c r="BH28" s="36">
        <v>3604</v>
      </c>
      <c r="BI28" s="61">
        <f t="shared" si="65"/>
        <v>3604</v>
      </c>
      <c r="BJ28" s="36">
        <v>3604</v>
      </c>
      <c r="BK28" s="36">
        <v>3637</v>
      </c>
      <c r="BL28" s="36">
        <v>3654</v>
      </c>
      <c r="BM28" s="36">
        <v>3671</v>
      </c>
      <c r="BN28" s="61">
        <f t="shared" si="66"/>
        <v>3671</v>
      </c>
      <c r="BO28" s="39">
        <v>3688</v>
      </c>
      <c r="BP28" s="39">
        <v>3705</v>
      </c>
      <c r="BQ28" s="39">
        <v>3722</v>
      </c>
      <c r="BR28" s="36">
        <v>3740</v>
      </c>
      <c r="BS28" s="61">
        <f t="shared" si="67"/>
        <v>3740</v>
      </c>
      <c r="BT28" s="39">
        <v>3757</v>
      </c>
      <c r="BU28" s="39">
        <v>3775</v>
      </c>
      <c r="BV28" s="39">
        <v>3792</v>
      </c>
      <c r="BW28" s="36">
        <v>3810</v>
      </c>
      <c r="BX28" s="61">
        <f t="shared" si="68"/>
        <v>3810</v>
      </c>
      <c r="BY28" s="39">
        <v>3828</v>
      </c>
      <c r="BZ28" s="39">
        <v>3846</v>
      </c>
      <c r="CA28" s="39">
        <v>18788</v>
      </c>
      <c r="CB28" s="39">
        <v>18126</v>
      </c>
      <c r="CC28" s="61">
        <f t="shared" ref="CC28:CC35" si="69">CB28</f>
        <v>18126</v>
      </c>
      <c r="CD28" s="39">
        <v>17459</v>
      </c>
      <c r="CE28" s="39">
        <v>32225</v>
      </c>
      <c r="CF28" s="39">
        <v>16328</v>
      </c>
      <c r="CG28" s="39">
        <v>16031</v>
      </c>
      <c r="CH28" s="61">
        <f t="shared" ref="CH28:CH35" si="70">CG28</f>
        <v>16031</v>
      </c>
      <c r="CI28" s="39">
        <v>15734</v>
      </c>
      <c r="CJ28" s="39">
        <v>0</v>
      </c>
      <c r="CK28" s="39">
        <v>0</v>
      </c>
      <c r="CL28" s="39">
        <v>0</v>
      </c>
      <c r="CM28" s="61">
        <f t="shared" ref="CM28:CM35" si="71">CL28</f>
        <v>0</v>
      </c>
      <c r="CN28" s="39">
        <v>0</v>
      </c>
      <c r="CO28" s="39">
        <v>0</v>
      </c>
      <c r="CP28" s="39"/>
      <c r="CQ28" s="39"/>
      <c r="CR28" s="61">
        <f t="shared" ref="CR28:CR35" si="72">CQ28</f>
        <v>0</v>
      </c>
    </row>
    <row r="29" spans="1:96" ht="11.15" customHeight="1" x14ac:dyDescent="0.2">
      <c r="A29" s="7" t="s">
        <v>27</v>
      </c>
      <c r="B29" s="11"/>
      <c r="C29" s="36">
        <v>6231</v>
      </c>
      <c r="D29" s="36">
        <v>6951</v>
      </c>
      <c r="E29" s="36">
        <v>7640</v>
      </c>
      <c r="F29" s="61">
        <f t="shared" si="54"/>
        <v>7640</v>
      </c>
      <c r="G29" s="36">
        <v>8640</v>
      </c>
      <c r="H29" s="36">
        <v>10788</v>
      </c>
      <c r="I29" s="36">
        <v>9204</v>
      </c>
      <c r="J29" s="36">
        <v>9444</v>
      </c>
      <c r="K29" s="61">
        <f t="shared" si="55"/>
        <v>9444</v>
      </c>
      <c r="L29" s="36">
        <v>11364</v>
      </c>
      <c r="M29" s="36">
        <v>9613</v>
      </c>
      <c r="N29" s="36">
        <v>10031</v>
      </c>
      <c r="O29" s="36">
        <v>7739</v>
      </c>
      <c r="P29" s="61">
        <f t="shared" si="56"/>
        <v>7739</v>
      </c>
      <c r="Q29" s="36">
        <v>5029</v>
      </c>
      <c r="R29" s="36">
        <v>6065</v>
      </c>
      <c r="S29" s="36">
        <v>4624</v>
      </c>
      <c r="T29" s="36">
        <v>5620</v>
      </c>
      <c r="U29" s="61">
        <f t="shared" si="57"/>
        <v>5620</v>
      </c>
      <c r="V29" s="36">
        <v>5824</v>
      </c>
      <c r="W29" s="36">
        <v>10427</v>
      </c>
      <c r="X29" s="36">
        <v>10663</v>
      </c>
      <c r="Y29" s="36">
        <v>9510</v>
      </c>
      <c r="Z29" s="61">
        <f t="shared" si="58"/>
        <v>9510</v>
      </c>
      <c r="AA29" s="36">
        <v>12526</v>
      </c>
      <c r="AB29" s="36">
        <v>14884</v>
      </c>
      <c r="AC29" s="36">
        <v>15241</v>
      </c>
      <c r="AD29" s="36">
        <v>11122</v>
      </c>
      <c r="AE29" s="61">
        <f t="shared" si="59"/>
        <v>11122</v>
      </c>
      <c r="AF29" s="36">
        <v>13488</v>
      </c>
      <c r="AG29" s="36">
        <v>13200</v>
      </c>
      <c r="AH29" s="36">
        <v>14291</v>
      </c>
      <c r="AI29" s="36">
        <v>17783</v>
      </c>
      <c r="AJ29" s="61">
        <f t="shared" si="60"/>
        <v>17783</v>
      </c>
      <c r="AK29" s="36">
        <v>14575</v>
      </c>
      <c r="AL29" s="36">
        <v>18525</v>
      </c>
      <c r="AM29" s="36">
        <v>14293</v>
      </c>
      <c r="AN29" s="36">
        <v>18787</v>
      </c>
      <c r="AO29" s="61">
        <f t="shared" si="61"/>
        <v>18787</v>
      </c>
      <c r="AP29" s="36">
        <v>18620</v>
      </c>
      <c r="AQ29" s="36">
        <v>15059</v>
      </c>
      <c r="AR29" s="36">
        <v>18969</v>
      </c>
      <c r="AS29" s="36">
        <v>17141</v>
      </c>
      <c r="AT29" s="61">
        <f t="shared" si="62"/>
        <v>17141</v>
      </c>
      <c r="AU29" s="36">
        <v>15916</v>
      </c>
      <c r="AV29" s="36">
        <v>21537</v>
      </c>
      <c r="AW29" s="36">
        <v>20862</v>
      </c>
      <c r="AX29" s="36">
        <v>26314</v>
      </c>
      <c r="AY29" s="61">
        <f t="shared" si="63"/>
        <v>26314</v>
      </c>
      <c r="AZ29" s="36">
        <v>20277</v>
      </c>
      <c r="BA29" s="36">
        <v>20414</v>
      </c>
      <c r="BB29" s="36">
        <v>17899</v>
      </c>
      <c r="BC29" s="36">
        <v>28048</v>
      </c>
      <c r="BD29" s="61">
        <f t="shared" si="64"/>
        <v>28048</v>
      </c>
      <c r="BE29" s="36">
        <v>25388</v>
      </c>
      <c r="BF29" s="36">
        <v>28996</v>
      </c>
      <c r="BG29" s="36">
        <v>34271</v>
      </c>
      <c r="BH29" s="36">
        <v>35109</v>
      </c>
      <c r="BI29" s="61">
        <f t="shared" si="65"/>
        <v>35109</v>
      </c>
      <c r="BJ29" s="36">
        <v>33369</v>
      </c>
      <c r="BK29" s="36">
        <v>42989</v>
      </c>
      <c r="BL29" s="36">
        <v>29494</v>
      </c>
      <c r="BM29" s="36">
        <v>36303</v>
      </c>
      <c r="BN29" s="61">
        <f t="shared" si="66"/>
        <v>36303</v>
      </c>
      <c r="BO29" s="39">
        <v>39970</v>
      </c>
      <c r="BP29" s="39">
        <v>38016</v>
      </c>
      <c r="BQ29" s="39">
        <v>30466</v>
      </c>
      <c r="BR29" s="36">
        <v>27329</v>
      </c>
      <c r="BS29" s="61">
        <f t="shared" si="67"/>
        <v>27329</v>
      </c>
      <c r="BT29" s="39">
        <v>39648</v>
      </c>
      <c r="BU29" s="39">
        <v>42261</v>
      </c>
      <c r="BV29" s="39">
        <v>37375</v>
      </c>
      <c r="BW29" s="36">
        <v>25748</v>
      </c>
      <c r="BX29" s="61">
        <f t="shared" si="68"/>
        <v>25748</v>
      </c>
      <c r="BY29" s="39">
        <v>44704</v>
      </c>
      <c r="BZ29" s="39">
        <v>50714</v>
      </c>
      <c r="CA29" s="39">
        <v>52428</v>
      </c>
      <c r="CB29" s="39">
        <v>55839</v>
      </c>
      <c r="CC29" s="61">
        <f t="shared" si="69"/>
        <v>55839</v>
      </c>
      <c r="CD29" s="39">
        <v>46481</v>
      </c>
      <c r="CE29" s="39">
        <v>57276</v>
      </c>
      <c r="CF29" s="39">
        <v>55072</v>
      </c>
      <c r="CG29" s="39">
        <v>46233</v>
      </c>
      <c r="CH29" s="61">
        <f t="shared" si="70"/>
        <v>46233</v>
      </c>
      <c r="CI29" s="39">
        <v>40902</v>
      </c>
      <c r="CJ29" s="39">
        <v>37418</v>
      </c>
      <c r="CK29" s="39">
        <v>33126</v>
      </c>
      <c r="CL29" s="39">
        <v>28618</v>
      </c>
      <c r="CM29" s="61">
        <f t="shared" si="71"/>
        <v>28618</v>
      </c>
      <c r="CN29" s="39">
        <v>26675</v>
      </c>
      <c r="CO29" s="39">
        <v>26232</v>
      </c>
      <c r="CP29" s="39"/>
      <c r="CQ29" s="39"/>
      <c r="CR29" s="61">
        <f t="shared" si="72"/>
        <v>0</v>
      </c>
    </row>
    <row r="30" spans="1:96" ht="11.15" customHeight="1" x14ac:dyDescent="0.2">
      <c r="A30" s="7" t="s">
        <v>131</v>
      </c>
      <c r="B30" s="36"/>
      <c r="C30" s="36">
        <v>0</v>
      </c>
      <c r="D30" s="36">
        <v>0</v>
      </c>
      <c r="E30" s="36">
        <v>0</v>
      </c>
      <c r="F30" s="61">
        <f t="shared" si="54"/>
        <v>0</v>
      </c>
      <c r="G30" s="36">
        <v>0</v>
      </c>
      <c r="H30" s="36">
        <v>0</v>
      </c>
      <c r="I30" s="36">
        <v>0</v>
      </c>
      <c r="J30" s="36">
        <v>0</v>
      </c>
      <c r="K30" s="61">
        <f t="shared" si="55"/>
        <v>0</v>
      </c>
      <c r="L30" s="36">
        <v>0</v>
      </c>
      <c r="M30" s="36">
        <v>0</v>
      </c>
      <c r="N30" s="36">
        <v>0</v>
      </c>
      <c r="O30" s="36">
        <v>0</v>
      </c>
      <c r="P30" s="61">
        <f t="shared" si="56"/>
        <v>0</v>
      </c>
      <c r="Q30" s="36">
        <v>0</v>
      </c>
      <c r="R30" s="36">
        <v>0</v>
      </c>
      <c r="S30" s="36">
        <v>0</v>
      </c>
      <c r="T30" s="36">
        <v>0</v>
      </c>
      <c r="U30" s="61">
        <f t="shared" si="57"/>
        <v>0</v>
      </c>
      <c r="V30" s="36">
        <v>0</v>
      </c>
      <c r="W30" s="36">
        <v>0</v>
      </c>
      <c r="X30" s="36">
        <v>0</v>
      </c>
      <c r="Y30" s="36">
        <v>0</v>
      </c>
      <c r="Z30" s="61">
        <f t="shared" si="58"/>
        <v>0</v>
      </c>
      <c r="AA30" s="36">
        <v>0</v>
      </c>
      <c r="AB30" s="36">
        <v>0</v>
      </c>
      <c r="AC30" s="36">
        <v>0</v>
      </c>
      <c r="AD30" s="36">
        <v>21453</v>
      </c>
      <c r="AE30" s="61">
        <f t="shared" si="59"/>
        <v>21453</v>
      </c>
      <c r="AF30" s="36">
        <v>12980</v>
      </c>
      <c r="AG30" s="36">
        <v>16819</v>
      </c>
      <c r="AH30" s="36">
        <v>20811</v>
      </c>
      <c r="AI30" s="36">
        <v>21972</v>
      </c>
      <c r="AJ30" s="61">
        <f t="shared" si="60"/>
        <v>21972</v>
      </c>
      <c r="AK30" s="36">
        <v>17746</v>
      </c>
      <c r="AL30" s="36">
        <v>22725</v>
      </c>
      <c r="AM30" s="36">
        <v>24863</v>
      </c>
      <c r="AN30" s="36">
        <v>25727</v>
      </c>
      <c r="AO30" s="61">
        <f t="shared" si="61"/>
        <v>25727</v>
      </c>
      <c r="AP30" s="36">
        <v>21815</v>
      </c>
      <c r="AQ30" s="36">
        <v>26956</v>
      </c>
      <c r="AR30" s="36">
        <v>29626</v>
      </c>
      <c r="AS30" s="36">
        <v>31673</v>
      </c>
      <c r="AT30" s="61">
        <f t="shared" si="62"/>
        <v>31673</v>
      </c>
      <c r="AU30" s="36">
        <v>22421</v>
      </c>
      <c r="AV30" s="36">
        <v>26872</v>
      </c>
      <c r="AW30" s="36">
        <v>32975</v>
      </c>
      <c r="AX30" s="36">
        <v>33617</v>
      </c>
      <c r="AY30" s="61">
        <f t="shared" si="63"/>
        <v>33617</v>
      </c>
      <c r="AZ30" s="36">
        <v>26437</v>
      </c>
      <c r="BA30" s="36">
        <v>30657</v>
      </c>
      <c r="BB30" s="36">
        <v>39164</v>
      </c>
      <c r="BC30" s="36">
        <v>43761</v>
      </c>
      <c r="BD30" s="61">
        <f t="shared" si="64"/>
        <v>43761</v>
      </c>
      <c r="BE30" s="36">
        <v>37607</v>
      </c>
      <c r="BF30" s="36">
        <v>43352</v>
      </c>
      <c r="BG30" s="36">
        <v>60544</v>
      </c>
      <c r="BH30" s="36">
        <v>63203</v>
      </c>
      <c r="BI30" s="61">
        <f t="shared" si="65"/>
        <v>63203</v>
      </c>
      <c r="BJ30" s="36">
        <v>53496</v>
      </c>
      <c r="BK30" s="36">
        <v>53855</v>
      </c>
      <c r="BL30" s="36">
        <v>57037</v>
      </c>
      <c r="BM30" s="36">
        <v>60107</v>
      </c>
      <c r="BN30" s="61">
        <f t="shared" si="66"/>
        <v>60107</v>
      </c>
      <c r="BO30" s="39">
        <v>51882</v>
      </c>
      <c r="BP30" s="36">
        <v>55238</v>
      </c>
      <c r="BQ30" s="36">
        <v>57939</v>
      </c>
      <c r="BR30" s="36">
        <v>48881</v>
      </c>
      <c r="BS30" s="61">
        <f t="shared" si="67"/>
        <v>48881</v>
      </c>
      <c r="BT30" s="39">
        <v>45679</v>
      </c>
      <c r="BU30" s="36">
        <v>53533</v>
      </c>
      <c r="BV30" s="36">
        <v>57265</v>
      </c>
      <c r="BW30" s="36">
        <v>62785</v>
      </c>
      <c r="BX30" s="61">
        <f t="shared" si="68"/>
        <v>62785</v>
      </c>
      <c r="BY30" s="39">
        <v>53690</v>
      </c>
      <c r="BZ30" s="36">
        <v>68858</v>
      </c>
      <c r="CA30" s="36">
        <v>81078</v>
      </c>
      <c r="CB30" s="36">
        <v>94857</v>
      </c>
      <c r="CC30" s="61">
        <f t="shared" si="69"/>
        <v>94857</v>
      </c>
      <c r="CD30" s="39">
        <v>62287</v>
      </c>
      <c r="CE30" s="39">
        <v>75212</v>
      </c>
      <c r="CF30" s="39">
        <v>73324</v>
      </c>
      <c r="CG30" s="39">
        <v>78251</v>
      </c>
      <c r="CH30" s="61">
        <f t="shared" si="70"/>
        <v>78251</v>
      </c>
      <c r="CI30" s="39">
        <v>60311</v>
      </c>
      <c r="CJ30" s="39">
        <v>64369</v>
      </c>
      <c r="CK30" s="39">
        <v>64060</v>
      </c>
      <c r="CL30" s="39">
        <v>67053</v>
      </c>
      <c r="CM30" s="61">
        <f t="shared" si="71"/>
        <v>67053</v>
      </c>
      <c r="CN30" s="39">
        <v>55322</v>
      </c>
      <c r="CO30" s="39">
        <v>60722</v>
      </c>
      <c r="CP30" s="39"/>
      <c r="CQ30" s="39"/>
      <c r="CR30" s="61">
        <f t="shared" si="72"/>
        <v>0</v>
      </c>
    </row>
    <row r="31" spans="1:96" ht="11.15" customHeight="1" x14ac:dyDescent="0.2">
      <c r="A31" s="7" t="s">
        <v>132</v>
      </c>
      <c r="B31" s="36"/>
      <c r="C31" s="36">
        <v>0</v>
      </c>
      <c r="D31" s="36">
        <v>0</v>
      </c>
      <c r="E31" s="36">
        <v>0</v>
      </c>
      <c r="F31" s="61">
        <f t="shared" si="54"/>
        <v>0</v>
      </c>
      <c r="G31" s="36">
        <v>0</v>
      </c>
      <c r="H31" s="36">
        <v>0</v>
      </c>
      <c r="I31" s="36">
        <v>0</v>
      </c>
      <c r="J31" s="36">
        <v>0</v>
      </c>
      <c r="K31" s="61">
        <f t="shared" si="55"/>
        <v>0</v>
      </c>
      <c r="L31" s="36">
        <v>0</v>
      </c>
      <c r="M31" s="36">
        <v>0</v>
      </c>
      <c r="N31" s="36">
        <v>0</v>
      </c>
      <c r="O31" s="36">
        <v>0</v>
      </c>
      <c r="P31" s="61">
        <f t="shared" si="56"/>
        <v>0</v>
      </c>
      <c r="Q31" s="36">
        <v>0</v>
      </c>
      <c r="R31" s="36">
        <v>0</v>
      </c>
      <c r="S31" s="36">
        <v>0</v>
      </c>
      <c r="T31" s="36">
        <v>0</v>
      </c>
      <c r="U31" s="61">
        <f t="shared" si="57"/>
        <v>0</v>
      </c>
      <c r="V31" s="36">
        <v>0</v>
      </c>
      <c r="W31" s="36">
        <v>0</v>
      </c>
      <c r="X31" s="36">
        <v>0</v>
      </c>
      <c r="Y31" s="36">
        <v>0</v>
      </c>
      <c r="Z31" s="61">
        <f t="shared" si="58"/>
        <v>0</v>
      </c>
      <c r="AA31" s="36">
        <v>0</v>
      </c>
      <c r="AB31" s="36">
        <v>0</v>
      </c>
      <c r="AC31" s="36">
        <v>0</v>
      </c>
      <c r="AD31" s="36">
        <v>15317</v>
      </c>
      <c r="AE31" s="61">
        <f t="shared" si="59"/>
        <v>15317</v>
      </c>
      <c r="AF31" s="36">
        <v>17496</v>
      </c>
      <c r="AG31" s="36">
        <v>18623</v>
      </c>
      <c r="AH31" s="36">
        <v>21709</v>
      </c>
      <c r="AI31" s="36">
        <v>17174</v>
      </c>
      <c r="AJ31" s="61">
        <f t="shared" si="60"/>
        <v>17174</v>
      </c>
      <c r="AK31" s="36">
        <v>18608</v>
      </c>
      <c r="AL31" s="36">
        <v>16641</v>
      </c>
      <c r="AM31" s="36">
        <v>19929</v>
      </c>
      <c r="AN31" s="36">
        <v>18489</v>
      </c>
      <c r="AO31" s="61">
        <f t="shared" si="61"/>
        <v>18489</v>
      </c>
      <c r="AP31" s="36">
        <v>26961</v>
      </c>
      <c r="AQ31" s="36">
        <v>21213</v>
      </c>
      <c r="AR31" s="36">
        <v>21504</v>
      </c>
      <c r="AS31" s="36">
        <v>16605</v>
      </c>
      <c r="AT31" s="61">
        <f t="shared" si="62"/>
        <v>16605</v>
      </c>
      <c r="AU31" s="36">
        <v>22703</v>
      </c>
      <c r="AV31" s="36">
        <v>22435</v>
      </c>
      <c r="AW31" s="36">
        <v>23652</v>
      </c>
      <c r="AX31" s="36">
        <v>21525</v>
      </c>
      <c r="AY31" s="61">
        <f t="shared" si="63"/>
        <v>21525</v>
      </c>
      <c r="AZ31" s="36">
        <v>23427</v>
      </c>
      <c r="BA31" s="36">
        <v>25927</v>
      </c>
      <c r="BB31" s="36">
        <v>32725</v>
      </c>
      <c r="BC31" s="36">
        <v>34571</v>
      </c>
      <c r="BD31" s="61">
        <f t="shared" si="64"/>
        <v>34571</v>
      </c>
      <c r="BE31" s="36">
        <v>43212</v>
      </c>
      <c r="BF31" s="36">
        <v>44705</v>
      </c>
      <c r="BG31" s="36">
        <v>43425</v>
      </c>
      <c r="BH31" s="36">
        <v>47324</v>
      </c>
      <c r="BI31" s="61">
        <f t="shared" si="65"/>
        <v>47324</v>
      </c>
      <c r="BJ31" s="36">
        <v>50341</v>
      </c>
      <c r="BK31" s="36">
        <v>46986</v>
      </c>
      <c r="BL31" s="36">
        <v>48274</v>
      </c>
      <c r="BM31" s="36">
        <v>46703</v>
      </c>
      <c r="BN31" s="61">
        <f t="shared" si="66"/>
        <v>46703</v>
      </c>
      <c r="BO31" s="39">
        <v>55237</v>
      </c>
      <c r="BP31" s="36">
        <v>61506</v>
      </c>
      <c r="BQ31" s="36">
        <v>49358</v>
      </c>
      <c r="BR31" s="36">
        <v>59531</v>
      </c>
      <c r="BS31" s="61">
        <f t="shared" si="67"/>
        <v>59531</v>
      </c>
      <c r="BT31" s="39">
        <v>62499</v>
      </c>
      <c r="BU31" s="36">
        <v>54587</v>
      </c>
      <c r="BV31" s="36">
        <v>57034</v>
      </c>
      <c r="BW31" s="36">
        <v>71246</v>
      </c>
      <c r="BX31" s="61">
        <f t="shared" si="68"/>
        <v>71246</v>
      </c>
      <c r="BY31" s="39">
        <v>69526</v>
      </c>
      <c r="BZ31" s="36">
        <v>80366</v>
      </c>
      <c r="CA31" s="36">
        <v>80694</v>
      </c>
      <c r="CB31" s="36">
        <v>89659</v>
      </c>
      <c r="CC31" s="61">
        <f t="shared" si="69"/>
        <v>89659</v>
      </c>
      <c r="CD31" s="39">
        <v>94418</v>
      </c>
      <c r="CE31" s="39">
        <v>87155</v>
      </c>
      <c r="CF31" s="39">
        <v>81868</v>
      </c>
      <c r="CG31" s="39">
        <v>80068</v>
      </c>
      <c r="CH31" s="61">
        <f t="shared" si="70"/>
        <v>80068</v>
      </c>
      <c r="CI31" s="39">
        <v>82903</v>
      </c>
      <c r="CJ31" s="39">
        <v>75785</v>
      </c>
      <c r="CK31" s="39">
        <v>66961</v>
      </c>
      <c r="CL31" s="39">
        <v>69219</v>
      </c>
      <c r="CM31" s="61">
        <f t="shared" si="71"/>
        <v>69219</v>
      </c>
      <c r="CN31" s="39">
        <v>60171</v>
      </c>
      <c r="CO31" s="39">
        <v>57452</v>
      </c>
      <c r="CP31" s="39"/>
      <c r="CQ31" s="39"/>
      <c r="CR31" s="61">
        <f t="shared" si="72"/>
        <v>0</v>
      </c>
    </row>
    <row r="32" spans="1:96" ht="11.15" customHeight="1" x14ac:dyDescent="0.2">
      <c r="A32" s="7" t="s">
        <v>133</v>
      </c>
      <c r="B32" s="36"/>
      <c r="C32" s="36">
        <v>0</v>
      </c>
      <c r="D32" s="36">
        <v>0</v>
      </c>
      <c r="E32" s="36">
        <v>0</v>
      </c>
      <c r="F32" s="61">
        <f t="shared" si="54"/>
        <v>0</v>
      </c>
      <c r="G32" s="36">
        <v>0</v>
      </c>
      <c r="H32" s="36">
        <v>0</v>
      </c>
      <c r="I32" s="36">
        <v>0</v>
      </c>
      <c r="J32" s="36">
        <v>0</v>
      </c>
      <c r="K32" s="61">
        <f t="shared" si="55"/>
        <v>0</v>
      </c>
      <c r="L32" s="36">
        <v>0</v>
      </c>
      <c r="M32" s="36">
        <v>0</v>
      </c>
      <c r="N32" s="36">
        <v>0</v>
      </c>
      <c r="O32" s="36">
        <v>0</v>
      </c>
      <c r="P32" s="61">
        <f t="shared" si="56"/>
        <v>0</v>
      </c>
      <c r="Q32" s="36">
        <v>0</v>
      </c>
      <c r="R32" s="36">
        <v>0</v>
      </c>
      <c r="S32" s="36">
        <v>0</v>
      </c>
      <c r="T32" s="36">
        <v>0</v>
      </c>
      <c r="U32" s="61">
        <f t="shared" si="57"/>
        <v>0</v>
      </c>
      <c r="V32" s="36">
        <v>0</v>
      </c>
      <c r="W32" s="36">
        <v>0</v>
      </c>
      <c r="X32" s="36">
        <v>0</v>
      </c>
      <c r="Y32" s="36">
        <v>0</v>
      </c>
      <c r="Z32" s="61">
        <f t="shared" si="58"/>
        <v>0</v>
      </c>
      <c r="AA32" s="36">
        <v>0</v>
      </c>
      <c r="AB32" s="36">
        <v>0</v>
      </c>
      <c r="AC32" s="36">
        <v>0</v>
      </c>
      <c r="AD32" s="36">
        <v>6186</v>
      </c>
      <c r="AE32" s="61">
        <f t="shared" si="59"/>
        <v>6186</v>
      </c>
      <c r="AF32" s="36">
        <v>6741</v>
      </c>
      <c r="AG32" s="36">
        <v>6687</v>
      </c>
      <c r="AH32" s="36">
        <v>7540</v>
      </c>
      <c r="AI32" s="36">
        <v>7838</v>
      </c>
      <c r="AJ32" s="61">
        <f t="shared" si="60"/>
        <v>7838</v>
      </c>
      <c r="AK32" s="36">
        <v>8040</v>
      </c>
      <c r="AL32" s="36">
        <v>8344</v>
      </c>
      <c r="AM32" s="36">
        <v>7697</v>
      </c>
      <c r="AN32" s="36">
        <v>7724</v>
      </c>
      <c r="AO32" s="61">
        <f t="shared" si="61"/>
        <v>7724</v>
      </c>
      <c r="AP32" s="36">
        <v>7541</v>
      </c>
      <c r="AQ32" s="36">
        <v>7821</v>
      </c>
      <c r="AR32" s="36">
        <v>7948</v>
      </c>
      <c r="AS32" s="36">
        <v>9489</v>
      </c>
      <c r="AT32" s="61">
        <f t="shared" si="62"/>
        <v>9489</v>
      </c>
      <c r="AU32" s="36">
        <v>9991</v>
      </c>
      <c r="AV32" s="36">
        <v>12061</v>
      </c>
      <c r="AW32" s="36">
        <v>13413</v>
      </c>
      <c r="AX32" s="36">
        <v>14871</v>
      </c>
      <c r="AY32" s="61">
        <f t="shared" si="63"/>
        <v>14871</v>
      </c>
      <c r="AZ32" s="36">
        <v>13501</v>
      </c>
      <c r="BA32" s="36">
        <v>13971</v>
      </c>
      <c r="BB32" s="36">
        <v>14686</v>
      </c>
      <c r="BC32" s="36">
        <v>15711</v>
      </c>
      <c r="BD32" s="61">
        <f t="shared" si="64"/>
        <v>15711</v>
      </c>
      <c r="BE32" s="36">
        <v>16974</v>
      </c>
      <c r="BF32" s="36">
        <v>18411</v>
      </c>
      <c r="BG32" s="36">
        <v>20344</v>
      </c>
      <c r="BH32" s="36">
        <v>25059</v>
      </c>
      <c r="BI32" s="61">
        <f t="shared" si="65"/>
        <v>25059</v>
      </c>
      <c r="BJ32" s="36">
        <v>22398</v>
      </c>
      <c r="BK32" s="36">
        <v>22207</v>
      </c>
      <c r="BL32" s="36">
        <v>22045</v>
      </c>
      <c r="BM32" s="36">
        <v>23106</v>
      </c>
      <c r="BN32" s="61">
        <f t="shared" si="66"/>
        <v>23106</v>
      </c>
      <c r="BO32" s="39">
        <v>22524</v>
      </c>
      <c r="BP32" s="36">
        <v>23841</v>
      </c>
      <c r="BQ32" s="36">
        <v>23802</v>
      </c>
      <c r="BR32" s="36">
        <v>23114</v>
      </c>
      <c r="BS32" s="61">
        <f t="shared" si="67"/>
        <v>23114</v>
      </c>
      <c r="BT32" s="39">
        <v>24057</v>
      </c>
      <c r="BU32" s="36">
        <v>23845</v>
      </c>
      <c r="BV32" s="36">
        <v>23971</v>
      </c>
      <c r="BW32" s="36">
        <v>24345</v>
      </c>
      <c r="BX32" s="61">
        <f t="shared" si="68"/>
        <v>24345</v>
      </c>
      <c r="BY32" s="39">
        <v>24056</v>
      </c>
      <c r="BZ32" s="36">
        <v>25116</v>
      </c>
      <c r="CA32" s="36">
        <v>25650</v>
      </c>
      <c r="CB32" s="36">
        <v>26204</v>
      </c>
      <c r="CC32" s="61">
        <f t="shared" si="69"/>
        <v>26204</v>
      </c>
      <c r="CD32" s="39">
        <v>26815</v>
      </c>
      <c r="CE32" s="39">
        <v>27331</v>
      </c>
      <c r="CF32" s="39">
        <v>26800</v>
      </c>
      <c r="CG32" s="39">
        <v>28504</v>
      </c>
      <c r="CH32" s="61">
        <f t="shared" si="70"/>
        <v>28504</v>
      </c>
      <c r="CI32" s="39">
        <v>28813</v>
      </c>
      <c r="CJ32" s="39">
        <v>28428</v>
      </c>
      <c r="CK32" s="39">
        <v>27280</v>
      </c>
      <c r="CL32" s="39">
        <v>27283</v>
      </c>
      <c r="CM32" s="61">
        <f t="shared" si="71"/>
        <v>27283</v>
      </c>
      <c r="CN32" s="39">
        <v>25916</v>
      </c>
      <c r="CO32" s="39">
        <v>24754</v>
      </c>
      <c r="CP32" s="39"/>
      <c r="CQ32" s="39"/>
      <c r="CR32" s="61">
        <f t="shared" si="72"/>
        <v>0</v>
      </c>
    </row>
    <row r="33" spans="1:96" ht="11.15" customHeight="1" x14ac:dyDescent="0.2">
      <c r="A33" s="7" t="s">
        <v>134</v>
      </c>
      <c r="B33" s="11"/>
      <c r="C33" s="36">
        <v>11248</v>
      </c>
      <c r="D33" s="36">
        <v>13305</v>
      </c>
      <c r="E33" s="36">
        <v>13940</v>
      </c>
      <c r="F33" s="61">
        <f t="shared" si="54"/>
        <v>13940</v>
      </c>
      <c r="G33" s="36">
        <v>13980</v>
      </c>
      <c r="H33" s="36">
        <v>14380</v>
      </c>
      <c r="I33" s="36">
        <v>17909</v>
      </c>
      <c r="J33" s="36">
        <v>13724</v>
      </c>
      <c r="K33" s="61">
        <f t="shared" si="55"/>
        <v>13724</v>
      </c>
      <c r="L33" s="36">
        <v>16046</v>
      </c>
      <c r="M33" s="36">
        <v>17313</v>
      </c>
      <c r="N33" s="36">
        <v>19712</v>
      </c>
      <c r="O33" s="36">
        <v>17988</v>
      </c>
      <c r="P33" s="61">
        <f t="shared" si="56"/>
        <v>17988</v>
      </c>
      <c r="Q33" s="36">
        <v>17507</v>
      </c>
      <c r="R33" s="36">
        <v>18929</v>
      </c>
      <c r="S33" s="36">
        <v>21276</v>
      </c>
      <c r="T33" s="36">
        <v>21189</v>
      </c>
      <c r="U33" s="61">
        <f t="shared" si="57"/>
        <v>21189</v>
      </c>
      <c r="V33" s="36">
        <v>25316</v>
      </c>
      <c r="W33" s="36">
        <v>35287</v>
      </c>
      <c r="X33" s="36">
        <v>41726</v>
      </c>
      <c r="Y33" s="36">
        <v>50105</v>
      </c>
      <c r="Z33" s="61">
        <f t="shared" si="58"/>
        <v>50105</v>
      </c>
      <c r="AA33" s="36">
        <v>47512</v>
      </c>
      <c r="AB33" s="36">
        <v>50732</v>
      </c>
      <c r="AC33" s="36">
        <v>51248</v>
      </c>
      <c r="AD33" s="36">
        <v>4329</v>
      </c>
      <c r="AE33" s="61">
        <f t="shared" si="59"/>
        <v>4329</v>
      </c>
      <c r="AF33" s="36">
        <v>6797</v>
      </c>
      <c r="AG33" s="36">
        <v>4096</v>
      </c>
      <c r="AH33" s="36">
        <v>5673</v>
      </c>
      <c r="AI33" s="36">
        <v>4467</v>
      </c>
      <c r="AJ33" s="61">
        <f t="shared" si="60"/>
        <v>4467</v>
      </c>
      <c r="AK33" s="36">
        <v>5744</v>
      </c>
      <c r="AL33" s="36">
        <v>5740</v>
      </c>
      <c r="AM33" s="36">
        <v>7064</v>
      </c>
      <c r="AN33" s="36">
        <v>7396</v>
      </c>
      <c r="AO33" s="61">
        <f t="shared" si="61"/>
        <v>7396</v>
      </c>
      <c r="AP33" s="36">
        <v>7550</v>
      </c>
      <c r="AQ33" s="36">
        <v>7389</v>
      </c>
      <c r="AR33" s="36">
        <v>7784</v>
      </c>
      <c r="AS33" s="36">
        <v>6290</v>
      </c>
      <c r="AT33" s="61">
        <f t="shared" si="62"/>
        <v>6290</v>
      </c>
      <c r="AU33" s="36">
        <v>7094</v>
      </c>
      <c r="AV33" s="36">
        <v>6906</v>
      </c>
      <c r="AW33" s="36">
        <v>6873</v>
      </c>
      <c r="AX33" s="36">
        <v>5654</v>
      </c>
      <c r="AY33" s="61">
        <f t="shared" si="63"/>
        <v>5654</v>
      </c>
      <c r="AZ33" s="36">
        <v>7622</v>
      </c>
      <c r="BA33" s="36">
        <v>9979</v>
      </c>
      <c r="BB33" s="36">
        <v>9801</v>
      </c>
      <c r="BC33" s="36">
        <v>8442</v>
      </c>
      <c r="BD33" s="61">
        <f t="shared" si="64"/>
        <v>8442</v>
      </c>
      <c r="BE33" s="36">
        <v>7944</v>
      </c>
      <c r="BF33" s="36">
        <v>10031</v>
      </c>
      <c r="BG33" s="36">
        <v>9971</v>
      </c>
      <c r="BH33" s="36">
        <v>8831</v>
      </c>
      <c r="BI33" s="61">
        <f t="shared" si="65"/>
        <v>8831</v>
      </c>
      <c r="BJ33" s="36">
        <v>9515</v>
      </c>
      <c r="BK33" s="36">
        <v>11266</v>
      </c>
      <c r="BL33" s="36">
        <v>9704</v>
      </c>
      <c r="BM33" s="36">
        <v>24724</v>
      </c>
      <c r="BN33" s="61">
        <f t="shared" si="66"/>
        <v>24724</v>
      </c>
      <c r="BO33" s="39">
        <v>23508</v>
      </c>
      <c r="BP33" s="36">
        <v>20624</v>
      </c>
      <c r="BQ33" s="36">
        <v>20332</v>
      </c>
      <c r="BR33" s="36">
        <v>18256</v>
      </c>
      <c r="BS33" s="61">
        <f t="shared" si="67"/>
        <v>18256</v>
      </c>
      <c r="BT33" s="39">
        <v>16436</v>
      </c>
      <c r="BU33" s="36">
        <v>16261</v>
      </c>
      <c r="BV33" s="36">
        <v>18202</v>
      </c>
      <c r="BW33" s="36">
        <v>18364</v>
      </c>
      <c r="BX33" s="61">
        <f t="shared" si="68"/>
        <v>18364</v>
      </c>
      <c r="BY33" s="39">
        <v>15503</v>
      </c>
      <c r="BZ33" s="36">
        <v>17824</v>
      </c>
      <c r="CA33" s="36">
        <v>21493</v>
      </c>
      <c r="CB33" s="36">
        <v>20106</v>
      </c>
      <c r="CC33" s="61">
        <f t="shared" si="69"/>
        <v>20106</v>
      </c>
      <c r="CD33" s="39">
        <v>20059</v>
      </c>
      <c r="CE33" s="39">
        <v>21115</v>
      </c>
      <c r="CF33" s="39">
        <v>17644</v>
      </c>
      <c r="CG33" s="39">
        <v>15941</v>
      </c>
      <c r="CH33" s="61">
        <f t="shared" si="70"/>
        <v>15941</v>
      </c>
      <c r="CI33" s="39">
        <v>17759</v>
      </c>
      <c r="CJ33" s="39">
        <v>15574</v>
      </c>
      <c r="CK33" s="39">
        <v>16216</v>
      </c>
      <c r="CL33" s="39">
        <v>17795</v>
      </c>
      <c r="CM33" s="61">
        <f t="shared" si="71"/>
        <v>17795</v>
      </c>
      <c r="CN33" s="39">
        <v>21602</v>
      </c>
      <c r="CO33" s="39">
        <v>18301</v>
      </c>
      <c r="CP33" s="39"/>
      <c r="CQ33" s="39"/>
      <c r="CR33" s="61">
        <f t="shared" si="72"/>
        <v>0</v>
      </c>
    </row>
    <row r="34" spans="1:96" ht="11.15" customHeight="1" x14ac:dyDescent="0.2">
      <c r="A34" s="7" t="s">
        <v>58</v>
      </c>
      <c r="B34" s="11"/>
      <c r="C34" s="36">
        <v>1969</v>
      </c>
      <c r="D34" s="36">
        <v>2520</v>
      </c>
      <c r="E34" s="36">
        <v>8289</v>
      </c>
      <c r="F34" s="61">
        <f t="shared" ref="F34:F35" si="73">E34</f>
        <v>8289</v>
      </c>
      <c r="G34" s="36">
        <v>7516</v>
      </c>
      <c r="H34" s="36">
        <v>1930</v>
      </c>
      <c r="I34" s="36">
        <v>199</v>
      </c>
      <c r="J34" s="36">
        <v>96</v>
      </c>
      <c r="K34" s="61">
        <f t="shared" ref="K34:K35" si="74">J34</f>
        <v>96</v>
      </c>
      <c r="L34" s="36">
        <v>1353</v>
      </c>
      <c r="M34" s="36">
        <v>1875</v>
      </c>
      <c r="N34" s="36">
        <v>1462</v>
      </c>
      <c r="O34" s="36">
        <v>507</v>
      </c>
      <c r="P34" s="61">
        <f t="shared" ref="P34:P35" si="75">O34</f>
        <v>507</v>
      </c>
      <c r="Q34" s="36">
        <v>2364</v>
      </c>
      <c r="R34" s="36">
        <v>1653</v>
      </c>
      <c r="S34" s="36">
        <v>3341</v>
      </c>
      <c r="T34" s="36">
        <v>2179</v>
      </c>
      <c r="U34" s="61">
        <f t="shared" ref="U34:U35" si="76">T34</f>
        <v>2179</v>
      </c>
      <c r="V34" s="36">
        <v>4236</v>
      </c>
      <c r="W34" s="36">
        <v>7408</v>
      </c>
      <c r="X34" s="36">
        <v>10025</v>
      </c>
      <c r="Y34" s="36">
        <v>11594</v>
      </c>
      <c r="Z34" s="61">
        <f t="shared" ref="Z34:Z35" si="77">Y34</f>
        <v>11594</v>
      </c>
      <c r="AA34" s="36">
        <v>7688</v>
      </c>
      <c r="AB34" s="36">
        <v>7555</v>
      </c>
      <c r="AC34" s="36">
        <v>29029</v>
      </c>
      <c r="AD34" s="36">
        <v>21230</v>
      </c>
      <c r="AE34" s="61">
        <f t="shared" ref="AE34:AE35" si="78">AD34</f>
        <v>21230</v>
      </c>
      <c r="AF34" s="36">
        <v>24720</v>
      </c>
      <c r="AG34" s="36">
        <v>31191</v>
      </c>
      <c r="AH34" s="36">
        <v>37604</v>
      </c>
      <c r="AI34" s="36">
        <v>42443</v>
      </c>
      <c r="AJ34" s="61">
        <f t="shared" ref="AJ34:AJ35" si="79">AI34</f>
        <v>42443</v>
      </c>
      <c r="AK34" s="36">
        <v>9191</v>
      </c>
      <c r="AL34" s="36">
        <v>17861</v>
      </c>
      <c r="AM34" s="36">
        <v>27031</v>
      </c>
      <c r="AN34" s="36">
        <v>15218</v>
      </c>
      <c r="AO34" s="61">
        <f t="shared" ref="AO34:AO35" si="80">AN34</f>
        <v>15218</v>
      </c>
      <c r="AP34" s="36">
        <v>14054</v>
      </c>
      <c r="AQ34" s="36">
        <v>16823</v>
      </c>
      <c r="AR34" s="36">
        <v>25088</v>
      </c>
      <c r="AS34" s="36">
        <v>21672</v>
      </c>
      <c r="AT34" s="61">
        <f t="shared" si="62"/>
        <v>21672</v>
      </c>
      <c r="AU34" s="36">
        <v>25606</v>
      </c>
      <c r="AV34" s="36">
        <v>28690</v>
      </c>
      <c r="AW34" s="36">
        <v>45084</v>
      </c>
      <c r="AX34" s="36">
        <v>37809</v>
      </c>
      <c r="AY34" s="61">
        <f t="shared" si="63"/>
        <v>37809</v>
      </c>
      <c r="AZ34" s="36">
        <v>53656</v>
      </c>
      <c r="BA34" s="36">
        <v>26688</v>
      </c>
      <c r="BB34" s="36">
        <v>34117</v>
      </c>
      <c r="BC34" s="36">
        <v>24554</v>
      </c>
      <c r="BD34" s="61">
        <f t="shared" ref="BD34:BD35" si="81">BC34</f>
        <v>24554</v>
      </c>
      <c r="BE34" s="36">
        <v>23423</v>
      </c>
      <c r="BF34" s="36">
        <v>10102</v>
      </c>
      <c r="BG34" s="36">
        <v>10060</v>
      </c>
      <c r="BH34" s="36">
        <v>15773</v>
      </c>
      <c r="BI34" s="61">
        <f t="shared" si="65"/>
        <v>15773</v>
      </c>
      <c r="BJ34" s="36">
        <v>22820</v>
      </c>
      <c r="BK34" s="36">
        <v>29339</v>
      </c>
      <c r="BL34" s="36">
        <v>47777</v>
      </c>
      <c r="BM34" s="36">
        <v>51161</v>
      </c>
      <c r="BN34" s="61">
        <f t="shared" si="66"/>
        <v>51161</v>
      </c>
      <c r="BO34" s="36">
        <v>13007</v>
      </c>
      <c r="BP34" s="36">
        <v>19298</v>
      </c>
      <c r="BQ34" s="36">
        <v>19944</v>
      </c>
      <c r="BR34" s="36">
        <v>11053</v>
      </c>
      <c r="BS34" s="61">
        <f t="shared" si="67"/>
        <v>11053</v>
      </c>
      <c r="BT34" s="36">
        <v>3356</v>
      </c>
      <c r="BU34" s="36">
        <v>1024</v>
      </c>
      <c r="BV34" s="36">
        <v>3806</v>
      </c>
      <c r="BW34" s="36">
        <v>8280</v>
      </c>
      <c r="BX34" s="61">
        <f t="shared" si="68"/>
        <v>8280</v>
      </c>
      <c r="BY34" s="36">
        <v>3446</v>
      </c>
      <c r="BZ34" s="36">
        <v>9181</v>
      </c>
      <c r="CA34" s="36">
        <v>12709</v>
      </c>
      <c r="CB34" s="36">
        <v>8642</v>
      </c>
      <c r="CC34" s="61">
        <f t="shared" si="69"/>
        <v>8642</v>
      </c>
      <c r="CD34" s="36">
        <v>12317</v>
      </c>
      <c r="CE34" s="39">
        <v>15588</v>
      </c>
      <c r="CF34" s="39">
        <v>24752</v>
      </c>
      <c r="CG34" s="39">
        <v>9618</v>
      </c>
      <c r="CH34" s="61">
        <f t="shared" si="70"/>
        <v>9618</v>
      </c>
      <c r="CI34" s="36">
        <v>3100</v>
      </c>
      <c r="CJ34" s="39">
        <v>6613</v>
      </c>
      <c r="CK34" s="39">
        <v>12066</v>
      </c>
      <c r="CL34" s="39">
        <v>4893</v>
      </c>
      <c r="CM34" s="61">
        <f t="shared" si="71"/>
        <v>4893</v>
      </c>
      <c r="CN34" s="36">
        <v>2441</v>
      </c>
      <c r="CO34" s="39">
        <v>3022</v>
      </c>
      <c r="CP34" s="39"/>
      <c r="CQ34" s="39"/>
      <c r="CR34" s="61">
        <f t="shared" si="72"/>
        <v>0</v>
      </c>
    </row>
    <row r="35" spans="1:96" ht="11.15" customHeight="1" x14ac:dyDescent="0.2">
      <c r="A35" s="21" t="s">
        <v>30</v>
      </c>
      <c r="B35" s="25"/>
      <c r="C35" s="25">
        <f>SUM(C27:C34)</f>
        <v>45760</v>
      </c>
      <c r="D35" s="25">
        <f>SUM(D27:D34)</f>
        <v>40687</v>
      </c>
      <c r="E35" s="25">
        <f>SUM(E27:E34)</f>
        <v>40771</v>
      </c>
      <c r="F35" s="74">
        <f t="shared" si="73"/>
        <v>40771</v>
      </c>
      <c r="G35" s="25">
        <f>SUM(G27:G34)</f>
        <v>30984</v>
      </c>
      <c r="H35" s="25">
        <f>SUM(H27:H34)</f>
        <v>37830</v>
      </c>
      <c r="I35" s="25">
        <f>SUM(I27:I34)</f>
        <v>42878</v>
      </c>
      <c r="J35" s="25">
        <f>SUM(J27:J34)</f>
        <v>34482</v>
      </c>
      <c r="K35" s="74">
        <f t="shared" si="74"/>
        <v>34482</v>
      </c>
      <c r="L35" s="25">
        <f>SUM(L27:L34)</f>
        <v>44099</v>
      </c>
      <c r="M35" s="25">
        <f>SUM(M27:M34)</f>
        <v>49984</v>
      </c>
      <c r="N35" s="25">
        <f>SUM(N27:N34)</f>
        <v>48539</v>
      </c>
      <c r="O35" s="25">
        <f>SUM(O27:O34)</f>
        <v>47336</v>
      </c>
      <c r="P35" s="74">
        <f t="shared" si="75"/>
        <v>47336</v>
      </c>
      <c r="Q35" s="25">
        <f>SUM(Q27:Q34)</f>
        <v>55993</v>
      </c>
      <c r="R35" s="25">
        <f>SUM(R27:R34)</f>
        <v>59381</v>
      </c>
      <c r="S35" s="25">
        <f>SUM(S27:S34)</f>
        <v>46050</v>
      </c>
      <c r="T35" s="25">
        <f>SUM(T27:T34)</f>
        <v>36328</v>
      </c>
      <c r="U35" s="74">
        <f t="shared" si="76"/>
        <v>36328</v>
      </c>
      <c r="V35" s="25">
        <f>SUM(V27:V34)</f>
        <v>43807</v>
      </c>
      <c r="W35" s="25">
        <f>SUM(W27:W34)</f>
        <v>60755</v>
      </c>
      <c r="X35" s="25">
        <f>SUM(X27:X34)</f>
        <v>68381</v>
      </c>
      <c r="Y35" s="25">
        <f>SUM(Y27:Y34)</f>
        <v>79383</v>
      </c>
      <c r="Z35" s="74">
        <f t="shared" si="77"/>
        <v>79383</v>
      </c>
      <c r="AA35" s="25">
        <f>SUM(AA27:AA34)</f>
        <v>75844</v>
      </c>
      <c r="AB35" s="25">
        <f>SUM(AB27:AB34)</f>
        <v>81962</v>
      </c>
      <c r="AC35" s="25">
        <f>SUM(AC27:AC34)</f>
        <v>104795</v>
      </c>
      <c r="AD35" s="25">
        <f>SUM(AD27:AD34)</f>
        <v>88307</v>
      </c>
      <c r="AE35" s="74">
        <f t="shared" si="78"/>
        <v>88307</v>
      </c>
      <c r="AF35" s="25">
        <f>SUM(AF27:AF34)</f>
        <v>93449</v>
      </c>
      <c r="AG35" s="25">
        <f>SUM(AG27:AG34)</f>
        <v>96233</v>
      </c>
      <c r="AH35" s="25">
        <f>SUM(AH27:AH34)</f>
        <v>114100</v>
      </c>
      <c r="AI35" s="25">
        <f>SUM(AI27:AI34)</f>
        <v>115624</v>
      </c>
      <c r="AJ35" s="74">
        <f t="shared" si="79"/>
        <v>115624</v>
      </c>
      <c r="AK35" s="25">
        <f>SUM(AK27:AK34)</f>
        <v>85235</v>
      </c>
      <c r="AL35" s="25">
        <f>SUM(AL27:AL34)</f>
        <v>92991</v>
      </c>
      <c r="AM35" s="25">
        <f>SUM(AM27:AM34)</f>
        <v>103757</v>
      </c>
      <c r="AN35" s="25">
        <f>SUM(AN27:AN34)</f>
        <v>97970</v>
      </c>
      <c r="AO35" s="74">
        <f t="shared" si="80"/>
        <v>97970</v>
      </c>
      <c r="AP35" s="25">
        <f>SUM(AP27:AP34)</f>
        <v>100174</v>
      </c>
      <c r="AQ35" s="25">
        <f>SUM(AQ27:AQ34)</f>
        <v>109985</v>
      </c>
      <c r="AR35" s="25">
        <f>SUM(AR27:AR34)</f>
        <v>124862</v>
      </c>
      <c r="AS35" s="25">
        <f>SUM(AS27:AS34)</f>
        <v>118834</v>
      </c>
      <c r="AT35" s="74">
        <f t="shared" si="62"/>
        <v>118834</v>
      </c>
      <c r="AU35" s="25">
        <f>SUM(AU27:AU34)</f>
        <v>117254</v>
      </c>
      <c r="AV35" s="25">
        <f>SUM(AV27:AV34)</f>
        <v>122101</v>
      </c>
      <c r="AW35" s="25">
        <f>SUM(AW27:AW34)</f>
        <v>145107</v>
      </c>
      <c r="AX35" s="25">
        <f>SUM(AX27:AX34)</f>
        <v>141790</v>
      </c>
      <c r="AY35" s="74">
        <f t="shared" si="63"/>
        <v>141790</v>
      </c>
      <c r="AZ35" s="25">
        <f>SUM(AZ27:AZ34)</f>
        <v>146920</v>
      </c>
      <c r="BA35" s="25">
        <f>SUM(BA27:BA34)</f>
        <v>130824</v>
      </c>
      <c r="BB35" s="25">
        <f>SUM(BB27:BB34)</f>
        <v>151580</v>
      </c>
      <c r="BC35" s="25">
        <f>SUM(BC27:BC34)</f>
        <v>158275</v>
      </c>
      <c r="BD35" s="74">
        <f t="shared" si="81"/>
        <v>158275</v>
      </c>
      <c r="BE35" s="25">
        <f>SUM(BE27:BE34)</f>
        <v>157736</v>
      </c>
      <c r="BF35" s="25">
        <f>SUM(BF27:BF34)</f>
        <v>156785</v>
      </c>
      <c r="BG35" s="25">
        <f>SUM(BG27:BG34)</f>
        <v>182191</v>
      </c>
      <c r="BH35" s="25">
        <f>SUM(BH27:BH34)</f>
        <v>198903</v>
      </c>
      <c r="BI35" s="74">
        <f t="shared" si="65"/>
        <v>198903</v>
      </c>
      <c r="BJ35" s="25">
        <f>SUM(BJ27:BJ34)</f>
        <v>195543</v>
      </c>
      <c r="BK35" s="25">
        <f>SUM(BK27:BK34)</f>
        <v>210279</v>
      </c>
      <c r="BL35" s="25">
        <f>SUM(BL27:BL34)</f>
        <v>217985</v>
      </c>
      <c r="BM35" s="25">
        <f>SUM(BM27:BM34)</f>
        <v>245775</v>
      </c>
      <c r="BN35" s="74">
        <f t="shared" si="66"/>
        <v>245775</v>
      </c>
      <c r="BO35" s="25">
        <f>SUM(BO27:BO34)</f>
        <v>209816</v>
      </c>
      <c r="BP35" s="25">
        <f>SUM(BP27:BP34)</f>
        <v>222228</v>
      </c>
      <c r="BQ35" s="25">
        <f>SUM(BQ27:BQ34)</f>
        <v>205563</v>
      </c>
      <c r="BR35" s="25">
        <f>SUM(BR27:BR34)</f>
        <v>191904</v>
      </c>
      <c r="BS35" s="74">
        <f t="shared" si="67"/>
        <v>191904</v>
      </c>
      <c r="BT35" s="25">
        <f>SUM(BT27:BT34)</f>
        <v>195432</v>
      </c>
      <c r="BU35" s="25">
        <f>SUM(BU27:BU34)</f>
        <v>195286</v>
      </c>
      <c r="BV35" s="25">
        <f>SUM(BV27:BV34)</f>
        <v>201445</v>
      </c>
      <c r="BW35" s="25">
        <f>SUM(BW27:BW34)</f>
        <v>214578</v>
      </c>
      <c r="BX35" s="74">
        <f t="shared" si="68"/>
        <v>214578</v>
      </c>
      <c r="BY35" s="25">
        <f>SUM(BY27:BY34)</f>
        <v>214753</v>
      </c>
      <c r="BZ35" s="25">
        <f>SUM(BZ27:BZ34)</f>
        <v>255905</v>
      </c>
      <c r="CA35" s="25">
        <f>SUM(CA27:CA34)</f>
        <v>292840</v>
      </c>
      <c r="CB35" s="25">
        <f>SUM(CB27:CB34)</f>
        <v>313433</v>
      </c>
      <c r="CC35" s="74">
        <f t="shared" si="69"/>
        <v>313433</v>
      </c>
      <c r="CD35" s="25">
        <f>SUM(CD27:CD34)</f>
        <v>279836</v>
      </c>
      <c r="CE35" s="25">
        <f>SUM(CE27:CE34)</f>
        <v>315902</v>
      </c>
      <c r="CF35" s="25">
        <f>SUM(CF27:CF34)</f>
        <v>295788</v>
      </c>
      <c r="CG35" s="25">
        <f>SUM(CG27:CG34)</f>
        <v>274646</v>
      </c>
      <c r="CH35" s="74">
        <f t="shared" si="70"/>
        <v>274646</v>
      </c>
      <c r="CI35" s="25">
        <f>SUM(CI27:CI34)</f>
        <v>249522</v>
      </c>
      <c r="CJ35" s="25">
        <f>SUM(CJ27:CJ34)</f>
        <v>228187</v>
      </c>
      <c r="CK35" s="25">
        <f>SUM(CK27:CK34)</f>
        <v>219709</v>
      </c>
      <c r="CL35" s="25">
        <f>SUM(CL27:CL34)</f>
        <v>214861</v>
      </c>
      <c r="CM35" s="74">
        <f t="shared" si="71"/>
        <v>214861</v>
      </c>
      <c r="CN35" s="25">
        <f>SUM(CN27:CN34)</f>
        <v>192127</v>
      </c>
      <c r="CO35" s="25">
        <f>SUM(CO27:CO34)</f>
        <v>190483</v>
      </c>
      <c r="CP35" s="25">
        <f>SUM(CP27:CP34)</f>
        <v>0</v>
      </c>
      <c r="CQ35" s="25">
        <f>SUM(CQ27:CQ34)</f>
        <v>0</v>
      </c>
      <c r="CR35" s="74">
        <f t="shared" si="72"/>
        <v>0</v>
      </c>
    </row>
    <row r="36" spans="1:96" ht="11.15" customHeight="1" x14ac:dyDescent="0.2">
      <c r="A36" s="21"/>
      <c r="B36" s="11"/>
      <c r="C36" s="11"/>
      <c r="D36" s="11"/>
      <c r="E36" s="11"/>
      <c r="F36" s="61"/>
      <c r="G36" s="11"/>
      <c r="H36" s="11"/>
      <c r="I36" s="11"/>
      <c r="J36" s="11"/>
      <c r="K36" s="61"/>
      <c r="L36" s="11"/>
      <c r="M36" s="11"/>
      <c r="N36" s="11"/>
      <c r="O36" s="11"/>
      <c r="P36" s="61"/>
      <c r="Q36" s="11"/>
      <c r="R36" s="11"/>
      <c r="S36" s="11"/>
      <c r="T36" s="11"/>
      <c r="U36" s="61"/>
      <c r="V36" s="11"/>
      <c r="W36" s="11"/>
      <c r="X36" s="11"/>
      <c r="Y36" s="11"/>
      <c r="Z36" s="61"/>
      <c r="AA36" s="11"/>
      <c r="AB36" s="11"/>
      <c r="AC36" s="11"/>
      <c r="AD36" s="11"/>
      <c r="AE36" s="61"/>
      <c r="AF36" s="11"/>
      <c r="AG36" s="11"/>
      <c r="AH36" s="11"/>
      <c r="AI36" s="11"/>
      <c r="AJ36" s="61"/>
      <c r="AK36" s="11"/>
      <c r="AL36" s="11"/>
      <c r="AM36" s="11"/>
      <c r="AN36" s="11"/>
      <c r="AO36" s="61"/>
      <c r="AP36" s="11"/>
      <c r="AQ36" s="11"/>
      <c r="AR36" s="11"/>
      <c r="AS36" s="11"/>
      <c r="AT36" s="61"/>
      <c r="AU36" s="11"/>
      <c r="AV36" s="11"/>
      <c r="AW36" s="11"/>
      <c r="AX36" s="11"/>
      <c r="AY36" s="61"/>
      <c r="AZ36" s="11"/>
      <c r="BA36" s="11"/>
      <c r="BB36" s="11"/>
      <c r="BC36" s="11"/>
      <c r="BD36" s="61"/>
      <c r="BE36" s="11"/>
      <c r="BF36" s="11"/>
      <c r="BG36" s="11"/>
      <c r="BH36" s="11"/>
      <c r="BI36" s="61"/>
      <c r="BJ36" s="11"/>
      <c r="BK36" s="11"/>
      <c r="BL36" s="11"/>
      <c r="BM36" s="11"/>
      <c r="BN36" s="61"/>
      <c r="BO36" s="11"/>
      <c r="BP36" s="11"/>
      <c r="BQ36" s="11"/>
      <c r="BR36" s="11"/>
      <c r="BS36" s="61"/>
      <c r="BT36" s="11"/>
      <c r="BU36" s="11"/>
      <c r="BV36" s="11"/>
      <c r="BW36" s="11"/>
      <c r="BX36" s="61"/>
      <c r="BY36" s="11"/>
      <c r="BZ36" s="11"/>
      <c r="CA36" s="11"/>
      <c r="CB36" s="11"/>
      <c r="CC36" s="61"/>
      <c r="CD36" s="11"/>
      <c r="CE36" s="11"/>
      <c r="CF36" s="11"/>
      <c r="CG36" s="11"/>
      <c r="CH36" s="61"/>
      <c r="CI36" s="11"/>
      <c r="CJ36" s="11"/>
      <c r="CK36" s="11"/>
      <c r="CL36" s="11"/>
      <c r="CM36" s="61"/>
      <c r="CN36" s="11"/>
      <c r="CO36" s="11"/>
      <c r="CP36" s="11"/>
      <c r="CQ36" s="11"/>
      <c r="CR36" s="61"/>
    </row>
    <row r="37" spans="1:96" ht="11.9" customHeight="1" x14ac:dyDescent="0.2">
      <c r="A37" s="6" t="s">
        <v>223</v>
      </c>
      <c r="B37" s="10"/>
      <c r="C37" s="39">
        <v>223</v>
      </c>
      <c r="D37" s="39">
        <v>241</v>
      </c>
      <c r="E37" s="39">
        <v>232</v>
      </c>
      <c r="F37" s="61">
        <f>E37</f>
        <v>232</v>
      </c>
      <c r="G37" s="39">
        <v>218</v>
      </c>
      <c r="H37" s="39">
        <v>4955</v>
      </c>
      <c r="I37" s="39">
        <v>3731</v>
      </c>
      <c r="J37" s="39">
        <v>4204</v>
      </c>
      <c r="K37" s="61">
        <f>J37</f>
        <v>4204</v>
      </c>
      <c r="L37" s="39">
        <f>1305+2149</f>
        <v>3454</v>
      </c>
      <c r="M37" s="39">
        <f>940+2645</f>
        <v>3585</v>
      </c>
      <c r="N37" s="39">
        <f>865+2842</f>
        <v>3707</v>
      </c>
      <c r="O37" s="39">
        <f>1690+2896</f>
        <v>4586</v>
      </c>
      <c r="P37" s="61">
        <f>O37</f>
        <v>4586</v>
      </c>
      <c r="Q37" s="39">
        <f>337+2089</f>
        <v>2426</v>
      </c>
      <c r="R37" s="39">
        <f>343+1819</f>
        <v>2162</v>
      </c>
      <c r="S37" s="39">
        <f>201+2485</f>
        <v>2686</v>
      </c>
      <c r="T37" s="39">
        <f>503+2567</f>
        <v>3070</v>
      </c>
      <c r="U37" s="61">
        <f>T37</f>
        <v>3070</v>
      </c>
      <c r="V37" s="39">
        <f>322+2293</f>
        <v>2615</v>
      </c>
      <c r="W37" s="39">
        <f>2572+1425</f>
        <v>3997</v>
      </c>
      <c r="X37" s="39">
        <f>2167+1594</f>
        <v>3761</v>
      </c>
      <c r="Y37" s="39">
        <f>3387+1735</f>
        <v>5122</v>
      </c>
      <c r="Z37" s="61">
        <f>Y37</f>
        <v>5122</v>
      </c>
      <c r="AA37" s="39">
        <f>7557+2766</f>
        <v>10323</v>
      </c>
      <c r="AB37" s="39">
        <f>8866+4661</f>
        <v>13527</v>
      </c>
      <c r="AC37" s="39">
        <f>5863+4756</f>
        <v>10619</v>
      </c>
      <c r="AD37" s="39">
        <f>5405+8961</f>
        <v>14366</v>
      </c>
      <c r="AE37" s="61">
        <f>AD37</f>
        <v>14366</v>
      </c>
      <c r="AF37" s="39">
        <f>9690+9881</f>
        <v>19571</v>
      </c>
      <c r="AG37" s="39">
        <f>7545+9834</f>
        <v>17379</v>
      </c>
      <c r="AH37" s="39">
        <f>7181+13191</f>
        <v>20372</v>
      </c>
      <c r="AI37" s="39">
        <f>9831+13102</f>
        <v>22933</v>
      </c>
      <c r="AJ37" s="61">
        <f>AI37</f>
        <v>22933</v>
      </c>
      <c r="AK37" s="39">
        <f>2875+18398</f>
        <v>21273</v>
      </c>
      <c r="AL37" s="39">
        <f>2211+16086</f>
        <v>18297</v>
      </c>
      <c r="AM37" s="39">
        <f>2050+16635</f>
        <v>18685</v>
      </c>
      <c r="AN37" s="39">
        <f>2109+21835</f>
        <v>23944</v>
      </c>
      <c r="AO37" s="61">
        <f>AN37</f>
        <v>23944</v>
      </c>
      <c r="AP37" s="39">
        <f>3104+21419</f>
        <v>24523</v>
      </c>
      <c r="AQ37" s="39">
        <f>3187+21354</f>
        <v>24541</v>
      </c>
      <c r="AR37" s="39">
        <f>3151+20672</f>
        <v>23823</v>
      </c>
      <c r="AS37" s="39">
        <f>3241+22584</f>
        <v>25825</v>
      </c>
      <c r="AT37" s="61">
        <f>AS37</f>
        <v>25825</v>
      </c>
      <c r="AU37" s="39">
        <f>5876+26444</f>
        <v>32320</v>
      </c>
      <c r="AV37" s="39">
        <f>3670+26348</f>
        <v>30018</v>
      </c>
      <c r="AW37" s="39">
        <f>8336+20710</f>
        <v>29046</v>
      </c>
      <c r="AX37" s="39">
        <f>3190+30117</f>
        <v>33307</v>
      </c>
      <c r="AY37" s="61">
        <f>AX37</f>
        <v>33307</v>
      </c>
      <c r="AZ37" s="39">
        <f>3751+35264</f>
        <v>39015</v>
      </c>
      <c r="BA37" s="39">
        <f>4152+31939</f>
        <v>36091</v>
      </c>
      <c r="BB37" s="39">
        <f>4047+30223</f>
        <v>34270</v>
      </c>
      <c r="BC37" s="39">
        <v>36365</v>
      </c>
      <c r="BD37" s="61">
        <f>BC37</f>
        <v>36365</v>
      </c>
      <c r="BE37" s="39">
        <v>41726</v>
      </c>
      <c r="BF37" s="39">
        <v>48025</v>
      </c>
      <c r="BG37" s="39">
        <v>58479</v>
      </c>
      <c r="BH37" s="39">
        <v>100652</v>
      </c>
      <c r="BI37" s="61">
        <f>BH37</f>
        <v>100652</v>
      </c>
      <c r="BJ37" s="39">
        <v>112612</v>
      </c>
      <c r="BK37" s="39">
        <v>104491</v>
      </c>
      <c r="BL37" s="39">
        <v>94675</v>
      </c>
      <c r="BM37" s="39">
        <v>80734</v>
      </c>
      <c r="BN37" s="61">
        <f>BM37</f>
        <v>80734</v>
      </c>
      <c r="BO37" s="39">
        <v>109853</v>
      </c>
      <c r="BP37" s="39">
        <v>107981</v>
      </c>
      <c r="BQ37" s="39">
        <v>105772</v>
      </c>
      <c r="BR37" s="39">
        <v>98121</v>
      </c>
      <c r="BS37" s="61">
        <f>BR37</f>
        <v>98121</v>
      </c>
      <c r="BT37" s="39">
        <v>91750</v>
      </c>
      <c r="BU37" s="39">
        <v>90073</v>
      </c>
      <c r="BV37" s="39">
        <v>87296</v>
      </c>
      <c r="BW37" s="39">
        <v>92854</v>
      </c>
      <c r="BX37" s="61">
        <f>BW37</f>
        <v>92854</v>
      </c>
      <c r="BY37" s="39">
        <v>94335</v>
      </c>
      <c r="BZ37" s="39">
        <v>92102</v>
      </c>
      <c r="CA37" s="39">
        <v>94897</v>
      </c>
      <c r="CB37" s="39">
        <v>93855</v>
      </c>
      <c r="CC37" s="61">
        <f>CB37</f>
        <v>93855</v>
      </c>
      <c r="CD37" s="39">
        <v>94650</v>
      </c>
      <c r="CE37" s="39">
        <v>92516</v>
      </c>
      <c r="CF37" s="39">
        <v>86223</v>
      </c>
      <c r="CG37" s="39">
        <v>83274</v>
      </c>
      <c r="CH37" s="61">
        <f>CG37</f>
        <v>83274</v>
      </c>
      <c r="CI37" s="39">
        <v>83109</v>
      </c>
      <c r="CJ37" s="39">
        <v>69680</v>
      </c>
      <c r="CK37" s="39">
        <v>69204</v>
      </c>
      <c r="CL37" s="39">
        <v>68652</v>
      </c>
      <c r="CM37" s="61">
        <f>CL37</f>
        <v>68652</v>
      </c>
      <c r="CN37" s="39">
        <v>65589</v>
      </c>
      <c r="CO37" s="39">
        <v>51578</v>
      </c>
      <c r="CP37" s="39"/>
      <c r="CQ37" s="39"/>
      <c r="CR37" s="61">
        <f>CQ37</f>
        <v>0</v>
      </c>
    </row>
    <row r="38" spans="1:96" ht="11.15" customHeight="1" x14ac:dyDescent="0.2">
      <c r="A38" s="6" t="s">
        <v>186</v>
      </c>
      <c r="B38" s="10"/>
      <c r="C38" s="39">
        <f>8967+16863</f>
        <v>25830</v>
      </c>
      <c r="D38" s="39">
        <f>13126+19000</f>
        <v>32126</v>
      </c>
      <c r="E38" s="39">
        <v>30068</v>
      </c>
      <c r="F38" s="61">
        <f>E38</f>
        <v>30068</v>
      </c>
      <c r="G38" s="39">
        <v>20000</v>
      </c>
      <c r="H38" s="39">
        <v>20000</v>
      </c>
      <c r="I38" s="39">
        <v>20000</v>
      </c>
      <c r="J38" s="39">
        <v>20000</v>
      </c>
      <c r="K38" s="61">
        <f>J38</f>
        <v>20000</v>
      </c>
      <c r="L38" s="39">
        <v>20000</v>
      </c>
      <c r="M38" s="39">
        <v>18710</v>
      </c>
      <c r="N38" s="39">
        <v>18356</v>
      </c>
      <c r="O38" s="39">
        <v>17997</v>
      </c>
      <c r="P38" s="61">
        <f>O38</f>
        <v>17997</v>
      </c>
      <c r="Q38" s="39">
        <v>17649</v>
      </c>
      <c r="R38" s="39">
        <v>17334</v>
      </c>
      <c r="S38" s="39">
        <v>17000</v>
      </c>
      <c r="T38" s="39">
        <v>16667</v>
      </c>
      <c r="U38" s="61">
        <f>T38</f>
        <v>16667</v>
      </c>
      <c r="V38" s="39">
        <v>16333</v>
      </c>
      <c r="W38" s="39">
        <v>16649</v>
      </c>
      <c r="X38" s="39">
        <v>16382</v>
      </c>
      <c r="Y38" s="39">
        <v>15644</v>
      </c>
      <c r="Z38" s="61">
        <f>Y38</f>
        <v>15644</v>
      </c>
      <c r="AA38" s="39">
        <v>17112</v>
      </c>
      <c r="AB38" s="39">
        <v>16758</v>
      </c>
      <c r="AC38" s="39">
        <v>16296</v>
      </c>
      <c r="AD38" s="39">
        <v>15726</v>
      </c>
      <c r="AE38" s="61">
        <f>AD38</f>
        <v>15726</v>
      </c>
      <c r="AF38" s="39">
        <v>15132</v>
      </c>
      <c r="AG38" s="39">
        <v>14671</v>
      </c>
      <c r="AH38" s="39">
        <v>14341</v>
      </c>
      <c r="AI38" s="39">
        <v>14014</v>
      </c>
      <c r="AJ38" s="61">
        <f>AI38</f>
        <v>14014</v>
      </c>
      <c r="AK38" s="39">
        <v>12525</v>
      </c>
      <c r="AL38" s="39">
        <v>12000</v>
      </c>
      <c r="AM38" s="39">
        <v>11667</v>
      </c>
      <c r="AN38" s="39">
        <v>11333</v>
      </c>
      <c r="AO38" s="61">
        <f>AN38</f>
        <v>11333</v>
      </c>
      <c r="AP38" s="39">
        <v>11000</v>
      </c>
      <c r="AQ38" s="39">
        <v>0</v>
      </c>
      <c r="AR38" s="39">
        <v>0</v>
      </c>
      <c r="AS38" s="39">
        <v>19667</v>
      </c>
      <c r="AT38" s="61">
        <f>AS38</f>
        <v>19667</v>
      </c>
      <c r="AU38" s="39">
        <v>19167</v>
      </c>
      <c r="AV38" s="39">
        <v>18667</v>
      </c>
      <c r="AW38" s="39">
        <v>18167</v>
      </c>
      <c r="AX38" s="39">
        <v>17667</v>
      </c>
      <c r="AY38" s="61">
        <f>AX38</f>
        <v>17667</v>
      </c>
      <c r="AZ38" s="39">
        <v>17167</v>
      </c>
      <c r="BA38" s="39">
        <v>39229</v>
      </c>
      <c r="BB38" s="39">
        <v>38432</v>
      </c>
      <c r="BC38" s="39">
        <v>37635</v>
      </c>
      <c r="BD38" s="61">
        <f>BC38</f>
        <v>37635</v>
      </c>
      <c r="BE38" s="39">
        <v>36839</v>
      </c>
      <c r="BF38" s="39">
        <v>21375</v>
      </c>
      <c r="BG38" s="39">
        <v>46296</v>
      </c>
      <c r="BH38" s="39">
        <v>45378</v>
      </c>
      <c r="BI38" s="61">
        <f>BH38</f>
        <v>45378</v>
      </c>
      <c r="BJ38" s="39">
        <v>44483</v>
      </c>
      <c r="BK38" s="39">
        <v>43551</v>
      </c>
      <c r="BL38" s="39">
        <v>42631</v>
      </c>
      <c r="BM38" s="39">
        <v>41707</v>
      </c>
      <c r="BN38" s="61">
        <f>BM38</f>
        <v>41707</v>
      </c>
      <c r="BO38" s="39">
        <v>40779</v>
      </c>
      <c r="BP38" s="39">
        <v>39846</v>
      </c>
      <c r="BQ38" s="39">
        <v>38909</v>
      </c>
      <c r="BR38" s="39">
        <v>37968</v>
      </c>
      <c r="BS38" s="61">
        <f>BR38</f>
        <v>37968</v>
      </c>
      <c r="BT38" s="39">
        <v>37022</v>
      </c>
      <c r="BU38" s="39">
        <v>36071</v>
      </c>
      <c r="BV38" s="39">
        <v>35117</v>
      </c>
      <c r="BW38" s="39">
        <v>34157</v>
      </c>
      <c r="BX38" s="61">
        <f>BW38</f>
        <v>34157</v>
      </c>
      <c r="BY38" s="39">
        <v>33193</v>
      </c>
      <c r="BZ38" s="39">
        <v>32225</v>
      </c>
      <c r="CA38" s="39">
        <v>16328</v>
      </c>
      <c r="CB38" s="39">
        <v>16031</v>
      </c>
      <c r="CC38" s="61">
        <f>CB38</f>
        <v>16031</v>
      </c>
      <c r="CD38" s="39">
        <v>15734</v>
      </c>
      <c r="CE38" s="39">
        <v>0</v>
      </c>
      <c r="CF38" s="39">
        <v>0</v>
      </c>
      <c r="CG38" s="39">
        <v>0</v>
      </c>
      <c r="CH38" s="61">
        <f>CG38</f>
        <v>0</v>
      </c>
      <c r="CI38" s="39">
        <v>0</v>
      </c>
      <c r="CJ38" s="39">
        <v>0</v>
      </c>
      <c r="CK38" s="39">
        <v>0</v>
      </c>
      <c r="CL38" s="39">
        <v>0</v>
      </c>
      <c r="CM38" s="61">
        <f>CL38</f>
        <v>0</v>
      </c>
      <c r="CN38" s="39">
        <v>0</v>
      </c>
      <c r="CO38" s="39">
        <v>0</v>
      </c>
      <c r="CP38" s="39"/>
      <c r="CQ38" s="39"/>
      <c r="CR38" s="61">
        <f>CQ38</f>
        <v>0</v>
      </c>
    </row>
    <row r="39" spans="1:96" ht="11.15" customHeight="1" x14ac:dyDescent="0.2">
      <c r="A39" s="21" t="s">
        <v>31</v>
      </c>
      <c r="B39" s="12"/>
      <c r="C39" s="12">
        <f>C35+SUM(C37:C38)</f>
        <v>71813</v>
      </c>
      <c r="D39" s="12">
        <f>D35+SUM(D37:D38)</f>
        <v>73054</v>
      </c>
      <c r="E39" s="12">
        <f>E35+SUM(E37:E38)</f>
        <v>71071</v>
      </c>
      <c r="F39" s="60">
        <f>E39</f>
        <v>71071</v>
      </c>
      <c r="G39" s="12">
        <f>G35+SUM(G37:G38)</f>
        <v>51202</v>
      </c>
      <c r="H39" s="12">
        <f>H35+SUM(H37:H38)</f>
        <v>62785</v>
      </c>
      <c r="I39" s="12">
        <f>I35+SUM(I37:I38)</f>
        <v>66609</v>
      </c>
      <c r="J39" s="12">
        <f>J35+SUM(J37:J38)</f>
        <v>58686</v>
      </c>
      <c r="K39" s="60">
        <f>J39</f>
        <v>58686</v>
      </c>
      <c r="L39" s="12">
        <f>L35+SUM(L37:L38)</f>
        <v>67553</v>
      </c>
      <c r="M39" s="12">
        <f>M35+SUM(M37:M38)</f>
        <v>72279</v>
      </c>
      <c r="N39" s="12">
        <f>N35+SUM(N37:N38)</f>
        <v>70602</v>
      </c>
      <c r="O39" s="12">
        <f>O35+SUM(O37:O38)</f>
        <v>69919</v>
      </c>
      <c r="P39" s="60">
        <f>O39</f>
        <v>69919</v>
      </c>
      <c r="Q39" s="12">
        <f>Q35+SUM(Q37:Q38)</f>
        <v>76068</v>
      </c>
      <c r="R39" s="12">
        <f>R35+SUM(R37:R38)</f>
        <v>78877</v>
      </c>
      <c r="S39" s="12">
        <f>S35+SUM(S37:S38)</f>
        <v>65736</v>
      </c>
      <c r="T39" s="12">
        <f>T35+SUM(T37:T38)</f>
        <v>56065</v>
      </c>
      <c r="U39" s="60">
        <f>T39</f>
        <v>56065</v>
      </c>
      <c r="V39" s="12">
        <f>V35+SUM(V37:V38)</f>
        <v>62755</v>
      </c>
      <c r="W39" s="12">
        <f>W35+SUM(W37:W38)</f>
        <v>81401</v>
      </c>
      <c r="X39" s="12">
        <f>X35+SUM(X37:X38)</f>
        <v>88524</v>
      </c>
      <c r="Y39" s="12">
        <f>Y35+SUM(Y37:Y38)</f>
        <v>100149</v>
      </c>
      <c r="Z39" s="60">
        <f>Y39</f>
        <v>100149</v>
      </c>
      <c r="AA39" s="12">
        <f>AA35+SUM(AA37:AA38)</f>
        <v>103279</v>
      </c>
      <c r="AB39" s="12">
        <f>AB35+SUM(AB37:AB38)</f>
        <v>112247</v>
      </c>
      <c r="AC39" s="12">
        <f>AC35+SUM(AC37:AC38)</f>
        <v>131710</v>
      </c>
      <c r="AD39" s="12">
        <f>AD35+SUM(AD37:AD38)</f>
        <v>118399</v>
      </c>
      <c r="AE39" s="60">
        <f>AD39</f>
        <v>118399</v>
      </c>
      <c r="AF39" s="12">
        <f>AF35+SUM(AF37:AF38)</f>
        <v>128152</v>
      </c>
      <c r="AG39" s="12">
        <f>AG35+SUM(AG37:AG38)</f>
        <v>128283</v>
      </c>
      <c r="AH39" s="12">
        <f>AH35+SUM(AH37:AH38)</f>
        <v>148813</v>
      </c>
      <c r="AI39" s="12">
        <f>AI35+SUM(AI37:AI38)</f>
        <v>152571</v>
      </c>
      <c r="AJ39" s="60">
        <f>AI39</f>
        <v>152571</v>
      </c>
      <c r="AK39" s="12">
        <f>AK35+SUM(AK37:AK38)</f>
        <v>119033</v>
      </c>
      <c r="AL39" s="12">
        <f>AL35+SUM(AL37:AL38)</f>
        <v>123288</v>
      </c>
      <c r="AM39" s="12">
        <f>AM35+SUM(AM37:AM38)</f>
        <v>134109</v>
      </c>
      <c r="AN39" s="12">
        <f>AN35+SUM(AN37:AN38)</f>
        <v>133247</v>
      </c>
      <c r="AO39" s="60">
        <f>AN39</f>
        <v>133247</v>
      </c>
      <c r="AP39" s="12">
        <f>AP35+SUM(AP37:AP38)</f>
        <v>135697</v>
      </c>
      <c r="AQ39" s="12">
        <f>AQ35+SUM(AQ37:AQ38)</f>
        <v>134526</v>
      </c>
      <c r="AR39" s="12">
        <f>AR35+SUM(AR37:AR38)</f>
        <v>148685</v>
      </c>
      <c r="AS39" s="12">
        <f>AS35+SUM(AS37:AS38)</f>
        <v>164326</v>
      </c>
      <c r="AT39" s="60">
        <f>AS39</f>
        <v>164326</v>
      </c>
      <c r="AU39" s="12">
        <f>AU35+SUM(AU37:AU38)</f>
        <v>168741</v>
      </c>
      <c r="AV39" s="12">
        <f>AV35+SUM(AV37:AV38)</f>
        <v>170786</v>
      </c>
      <c r="AW39" s="12">
        <f>AW35+SUM(AW37:AW38)</f>
        <v>192320</v>
      </c>
      <c r="AX39" s="12">
        <f>AX35+SUM(AX37:AX38)</f>
        <v>192764</v>
      </c>
      <c r="AY39" s="60">
        <f>AX39</f>
        <v>192764</v>
      </c>
      <c r="AZ39" s="12">
        <f>AZ35+SUM(AZ37:AZ38)</f>
        <v>203102</v>
      </c>
      <c r="BA39" s="12">
        <f>BA35+SUM(BA37:BA38)</f>
        <v>206144</v>
      </c>
      <c r="BB39" s="12">
        <f>BB35+SUM(BB37:BB38)</f>
        <v>224282</v>
      </c>
      <c r="BC39" s="12">
        <f>BC35+SUM(BC37:BC38)</f>
        <v>232275</v>
      </c>
      <c r="BD39" s="60">
        <f>BC39</f>
        <v>232275</v>
      </c>
      <c r="BE39" s="12">
        <f>BE35+SUM(BE37:BE38)</f>
        <v>236301</v>
      </c>
      <c r="BF39" s="12">
        <f>BF35+SUM(BF37:BF38)</f>
        <v>226185</v>
      </c>
      <c r="BG39" s="12">
        <f>BG35+SUM(BG37:BG38)</f>
        <v>286966</v>
      </c>
      <c r="BH39" s="12">
        <f>BH35+SUM(BH37:BH38)</f>
        <v>344933</v>
      </c>
      <c r="BI39" s="60">
        <f>BH39</f>
        <v>344933</v>
      </c>
      <c r="BJ39" s="12">
        <f>BJ35+SUM(BJ37:BJ38)</f>
        <v>352638</v>
      </c>
      <c r="BK39" s="12">
        <f>BK35+SUM(BK37:BK38)</f>
        <v>358321</v>
      </c>
      <c r="BL39" s="12">
        <f>BL35+SUM(BL37:BL38)</f>
        <v>355291</v>
      </c>
      <c r="BM39" s="12">
        <f>BM35+SUM(BM37:BM38)</f>
        <v>368216</v>
      </c>
      <c r="BN39" s="60">
        <f>BM39</f>
        <v>368216</v>
      </c>
      <c r="BO39" s="12">
        <f>BO35+SUM(BO37:BO38)</f>
        <v>360448</v>
      </c>
      <c r="BP39" s="12">
        <f>BP35+SUM(BP37:BP38)</f>
        <v>370055</v>
      </c>
      <c r="BQ39" s="12">
        <f>BQ35+SUM(BQ37:BQ38)</f>
        <v>350244</v>
      </c>
      <c r="BR39" s="12">
        <f>BR35+SUM(BR37:BR38)</f>
        <v>327993</v>
      </c>
      <c r="BS39" s="60">
        <f>BR39</f>
        <v>327993</v>
      </c>
      <c r="BT39" s="12">
        <f>BT35+SUM(BT37:BT38)</f>
        <v>324204</v>
      </c>
      <c r="BU39" s="12">
        <f>BU35+SUM(BU37:BU38)</f>
        <v>321430</v>
      </c>
      <c r="BV39" s="12">
        <f>BV35+SUM(BV37:BV38)</f>
        <v>323858</v>
      </c>
      <c r="BW39" s="12">
        <f>BW35+SUM(BW37:BW38)</f>
        <v>341589</v>
      </c>
      <c r="BX39" s="60">
        <f>BW39</f>
        <v>341589</v>
      </c>
      <c r="BY39" s="12">
        <f>BY35+SUM(BY37:BY38)</f>
        <v>342281</v>
      </c>
      <c r="BZ39" s="12">
        <f>BZ35+SUM(BZ37:BZ38)</f>
        <v>380232</v>
      </c>
      <c r="CA39" s="12">
        <f>CA35+SUM(CA37:CA38)</f>
        <v>404065</v>
      </c>
      <c r="CB39" s="12">
        <f>CB35+SUM(CB37:CB38)</f>
        <v>423319</v>
      </c>
      <c r="CC39" s="60">
        <f>CB39</f>
        <v>423319</v>
      </c>
      <c r="CD39" s="12">
        <f>CD35+SUM(CD37:CD38)</f>
        <v>390220</v>
      </c>
      <c r="CE39" s="12">
        <f>CE35+SUM(CE37:CE38)</f>
        <v>408418</v>
      </c>
      <c r="CF39" s="12">
        <f>CF35+SUM(CF37:CF38)</f>
        <v>382011</v>
      </c>
      <c r="CG39" s="12">
        <f>CG35+SUM(CG37:CG38)</f>
        <v>357920</v>
      </c>
      <c r="CH39" s="60">
        <f>CG39</f>
        <v>357920</v>
      </c>
      <c r="CI39" s="12">
        <f>CI35+SUM(CI37:CI38)</f>
        <v>332631</v>
      </c>
      <c r="CJ39" s="12">
        <f>CJ35+SUM(CJ37:CJ38)</f>
        <v>297867</v>
      </c>
      <c r="CK39" s="12">
        <f>CK35+SUM(CK37:CK38)</f>
        <v>288913</v>
      </c>
      <c r="CL39" s="12">
        <f>CL35+SUM(CL37:CL38)</f>
        <v>283513</v>
      </c>
      <c r="CM39" s="60">
        <f>CL39</f>
        <v>283513</v>
      </c>
      <c r="CN39" s="12">
        <f>CN35+SUM(CN37:CN38)</f>
        <v>257716</v>
      </c>
      <c r="CO39" s="12">
        <f>CO35+SUM(CO37:CO38)</f>
        <v>242061</v>
      </c>
      <c r="CP39" s="12">
        <f>CP35+SUM(CP37:CP38)</f>
        <v>0</v>
      </c>
      <c r="CQ39" s="12">
        <f>CQ35+SUM(CQ37:CQ38)</f>
        <v>0</v>
      </c>
      <c r="CR39" s="60">
        <f>CQ39</f>
        <v>0</v>
      </c>
    </row>
    <row r="40" spans="1:96" ht="11.15" customHeight="1" x14ac:dyDescent="0.2">
      <c r="A40" s="21"/>
      <c r="B40" s="11"/>
      <c r="C40" s="11"/>
      <c r="D40" s="11"/>
      <c r="E40" s="11"/>
      <c r="F40" s="61"/>
      <c r="G40" s="11"/>
      <c r="H40" s="11"/>
      <c r="I40" s="11"/>
      <c r="J40" s="11"/>
      <c r="K40" s="61"/>
      <c r="L40" s="11"/>
      <c r="M40" s="11"/>
      <c r="N40" s="11"/>
      <c r="O40" s="11"/>
      <c r="P40" s="61"/>
      <c r="Q40" s="11"/>
      <c r="R40" s="11"/>
      <c r="S40" s="11"/>
      <c r="T40" s="11"/>
      <c r="U40" s="61"/>
      <c r="V40" s="11"/>
      <c r="W40" s="11"/>
      <c r="X40" s="11"/>
      <c r="Y40" s="11"/>
      <c r="Z40" s="61"/>
      <c r="AA40" s="11"/>
      <c r="AB40" s="11"/>
      <c r="AC40" s="11"/>
      <c r="AD40" s="11"/>
      <c r="AE40" s="61"/>
      <c r="AF40" s="11"/>
      <c r="AG40" s="11"/>
      <c r="AH40" s="11"/>
      <c r="AI40" s="11"/>
      <c r="AJ40" s="61"/>
      <c r="AK40" s="11"/>
      <c r="AL40" s="11"/>
      <c r="AM40" s="11"/>
      <c r="AN40" s="11"/>
      <c r="AO40" s="61"/>
      <c r="AP40" s="11"/>
      <c r="AQ40" s="11"/>
      <c r="AR40" s="11"/>
      <c r="AS40" s="11"/>
      <c r="AT40" s="61"/>
      <c r="AU40" s="11"/>
      <c r="AV40" s="11"/>
      <c r="AW40" s="11"/>
      <c r="AX40" s="11"/>
      <c r="AY40" s="61"/>
      <c r="AZ40" s="11"/>
      <c r="BA40" s="11"/>
      <c r="BB40" s="11"/>
      <c r="BC40" s="11"/>
      <c r="BD40" s="61"/>
      <c r="BE40" s="11"/>
      <c r="BF40" s="11"/>
      <c r="BG40" s="11"/>
      <c r="BH40" s="11"/>
      <c r="BI40" s="61"/>
      <c r="BJ40" s="11"/>
      <c r="BK40" s="11"/>
      <c r="BL40" s="11"/>
      <c r="BM40" s="11"/>
      <c r="BN40" s="61"/>
      <c r="BO40" s="11"/>
      <c r="BP40" s="11"/>
      <c r="BQ40" s="11"/>
      <c r="BR40" s="11"/>
      <c r="BS40" s="61"/>
      <c r="BT40" s="11"/>
      <c r="BU40" s="11"/>
      <c r="BV40" s="11"/>
      <c r="BW40" s="11"/>
      <c r="BX40" s="61"/>
      <c r="BY40" s="11"/>
      <c r="BZ40" s="11"/>
      <c r="CA40" s="11"/>
      <c r="CB40" s="11"/>
      <c r="CC40" s="61"/>
      <c r="CD40" s="11"/>
      <c r="CE40" s="11"/>
      <c r="CF40" s="11"/>
      <c r="CG40" s="11"/>
      <c r="CH40" s="61"/>
      <c r="CI40" s="11"/>
      <c r="CJ40" s="11"/>
      <c r="CK40" s="11"/>
      <c r="CL40" s="11"/>
      <c r="CM40" s="61"/>
      <c r="CN40" s="11"/>
      <c r="CO40" s="11"/>
      <c r="CP40" s="11"/>
      <c r="CQ40" s="11"/>
      <c r="CR40" s="61"/>
    </row>
    <row r="41" spans="1:96" ht="11.15" customHeight="1" x14ac:dyDescent="0.2">
      <c r="A41" s="6" t="s">
        <v>187</v>
      </c>
      <c r="B41" s="11"/>
      <c r="C41" s="36">
        <v>0</v>
      </c>
      <c r="D41" s="36">
        <v>0</v>
      </c>
      <c r="E41" s="36">
        <v>0</v>
      </c>
      <c r="F41" s="61">
        <f>E41</f>
        <v>0</v>
      </c>
      <c r="G41" s="36">
        <v>0</v>
      </c>
      <c r="H41" s="36">
        <v>0</v>
      </c>
      <c r="I41" s="36">
        <v>0</v>
      </c>
      <c r="J41" s="36">
        <v>0</v>
      </c>
      <c r="K41" s="61">
        <f>J41</f>
        <v>0</v>
      </c>
      <c r="L41" s="36">
        <v>0</v>
      </c>
      <c r="M41" s="36">
        <v>0</v>
      </c>
      <c r="N41" s="36">
        <v>0</v>
      </c>
      <c r="O41" s="36">
        <v>0</v>
      </c>
      <c r="P41" s="61">
        <f>O41</f>
        <v>0</v>
      </c>
      <c r="Q41" s="36">
        <v>0</v>
      </c>
      <c r="R41" s="36">
        <v>0</v>
      </c>
      <c r="S41" s="36">
        <v>0</v>
      </c>
      <c r="T41" s="36">
        <v>0</v>
      </c>
      <c r="U41" s="61">
        <f>T41</f>
        <v>0</v>
      </c>
      <c r="V41" s="36">
        <v>0</v>
      </c>
      <c r="W41" s="36">
        <v>0</v>
      </c>
      <c r="X41" s="36">
        <v>0</v>
      </c>
      <c r="Y41" s="36">
        <v>24903</v>
      </c>
      <c r="Z41" s="61">
        <f>Y41</f>
        <v>24903</v>
      </c>
      <c r="AA41" s="36">
        <v>25839</v>
      </c>
      <c r="AB41" s="36">
        <v>46730</v>
      </c>
      <c r="AC41" s="36">
        <v>45651</v>
      </c>
      <c r="AD41" s="36">
        <v>46123</v>
      </c>
      <c r="AE41" s="61">
        <f>AD41</f>
        <v>46123</v>
      </c>
      <c r="AF41" s="36">
        <v>48387</v>
      </c>
      <c r="AG41" s="36">
        <v>0</v>
      </c>
      <c r="AH41" s="36">
        <v>0</v>
      </c>
      <c r="AI41" s="36">
        <v>0</v>
      </c>
      <c r="AJ41" s="61">
        <f>AI41</f>
        <v>0</v>
      </c>
      <c r="AK41" s="36">
        <v>0</v>
      </c>
      <c r="AL41" s="36">
        <v>0</v>
      </c>
      <c r="AM41" s="36">
        <v>0</v>
      </c>
      <c r="AN41" s="36">
        <v>0</v>
      </c>
      <c r="AO41" s="61">
        <f>AN41</f>
        <v>0</v>
      </c>
      <c r="AP41" s="36">
        <v>0</v>
      </c>
      <c r="AQ41" s="36">
        <v>0</v>
      </c>
      <c r="AR41" s="36">
        <v>0</v>
      </c>
      <c r="AS41" s="36">
        <v>0</v>
      </c>
      <c r="AT41" s="61">
        <f>AS41</f>
        <v>0</v>
      </c>
      <c r="AU41" s="36">
        <v>0</v>
      </c>
      <c r="AV41" s="36">
        <v>0</v>
      </c>
      <c r="AW41" s="36">
        <v>0</v>
      </c>
      <c r="AX41" s="36">
        <v>0</v>
      </c>
      <c r="AY41" s="61">
        <f>AX41</f>
        <v>0</v>
      </c>
      <c r="AZ41" s="36">
        <v>0</v>
      </c>
      <c r="BA41" s="36">
        <v>0</v>
      </c>
      <c r="BB41" s="36">
        <v>0</v>
      </c>
      <c r="BC41" s="36">
        <v>0</v>
      </c>
      <c r="BD41" s="61">
        <f>BC41</f>
        <v>0</v>
      </c>
      <c r="BE41" s="36">
        <v>0</v>
      </c>
      <c r="BF41" s="36">
        <v>0</v>
      </c>
      <c r="BG41" s="36">
        <v>0</v>
      </c>
      <c r="BH41" s="36">
        <v>0</v>
      </c>
      <c r="BI41" s="61">
        <f>BH41</f>
        <v>0</v>
      </c>
      <c r="BJ41" s="36">
        <v>0</v>
      </c>
      <c r="BK41" s="36">
        <v>0</v>
      </c>
      <c r="BL41" s="36">
        <v>0</v>
      </c>
      <c r="BM41" s="36">
        <v>0</v>
      </c>
      <c r="BN41" s="61">
        <f>BM41</f>
        <v>0</v>
      </c>
      <c r="BO41" s="36">
        <v>0</v>
      </c>
      <c r="BP41" s="36">
        <v>0</v>
      </c>
      <c r="BQ41" s="36">
        <v>0</v>
      </c>
      <c r="BR41" s="36">
        <v>0</v>
      </c>
      <c r="BS41" s="61">
        <f>BR41</f>
        <v>0</v>
      </c>
      <c r="BT41" s="36">
        <v>0</v>
      </c>
      <c r="BU41" s="36">
        <v>0</v>
      </c>
      <c r="BV41" s="36">
        <v>0</v>
      </c>
      <c r="BW41" s="36">
        <v>0</v>
      </c>
      <c r="BX41" s="61">
        <f>BW41</f>
        <v>0</v>
      </c>
      <c r="BY41" s="36">
        <v>0</v>
      </c>
      <c r="BZ41" s="36">
        <v>0</v>
      </c>
      <c r="CA41" s="36">
        <v>0</v>
      </c>
      <c r="CB41" s="36">
        <v>0</v>
      </c>
      <c r="CC41" s="61">
        <f>CB41</f>
        <v>0</v>
      </c>
      <c r="CD41" s="36">
        <v>0</v>
      </c>
      <c r="CE41" s="36">
        <v>0</v>
      </c>
      <c r="CF41" s="36">
        <v>0</v>
      </c>
      <c r="CG41" s="36">
        <v>0</v>
      </c>
      <c r="CH41" s="61">
        <f>CG41</f>
        <v>0</v>
      </c>
      <c r="CI41" s="36">
        <v>0</v>
      </c>
      <c r="CJ41" s="36">
        <v>0</v>
      </c>
      <c r="CK41" s="36">
        <v>0</v>
      </c>
      <c r="CL41" s="36">
        <v>0</v>
      </c>
      <c r="CM41" s="61">
        <f>CL41</f>
        <v>0</v>
      </c>
      <c r="CN41" s="36">
        <v>0</v>
      </c>
      <c r="CO41" s="36">
        <v>0</v>
      </c>
      <c r="CP41" s="36"/>
      <c r="CQ41" s="36"/>
      <c r="CR41" s="61">
        <f>CQ41</f>
        <v>0</v>
      </c>
    </row>
    <row r="42" spans="1:96" ht="11.15" customHeight="1" x14ac:dyDescent="0.2">
      <c r="A42" s="21"/>
      <c r="B42" s="11"/>
      <c r="C42" s="11"/>
      <c r="D42" s="11"/>
      <c r="E42" s="11"/>
      <c r="F42" s="61"/>
      <c r="G42" s="11"/>
      <c r="H42" s="11"/>
      <c r="I42" s="11"/>
      <c r="J42" s="11"/>
      <c r="K42" s="61"/>
      <c r="L42" s="11"/>
      <c r="M42" s="11"/>
      <c r="N42" s="11"/>
      <c r="O42" s="11"/>
      <c r="P42" s="61"/>
      <c r="Q42" s="11"/>
      <c r="R42" s="11"/>
      <c r="S42" s="11"/>
      <c r="T42" s="11"/>
      <c r="U42" s="61"/>
      <c r="V42" s="11"/>
      <c r="W42" s="11"/>
      <c r="X42" s="11"/>
      <c r="Y42" s="11"/>
      <c r="Z42" s="61"/>
      <c r="AA42" s="11"/>
      <c r="AB42" s="11"/>
      <c r="AC42" s="11"/>
      <c r="AD42" s="11"/>
      <c r="AE42" s="61"/>
      <c r="AF42" s="11"/>
      <c r="AG42" s="11"/>
      <c r="AH42" s="11"/>
      <c r="AI42" s="11"/>
      <c r="AJ42" s="61"/>
      <c r="AK42" s="11"/>
      <c r="AL42" s="11"/>
      <c r="AM42" s="11"/>
      <c r="AN42" s="11"/>
      <c r="AO42" s="61"/>
      <c r="AP42" s="11"/>
      <c r="AQ42" s="11"/>
      <c r="AR42" s="11"/>
      <c r="AS42" s="11"/>
      <c r="AT42" s="61"/>
      <c r="AU42" s="11"/>
      <c r="AV42" s="11"/>
      <c r="AW42" s="11"/>
      <c r="AX42" s="11"/>
      <c r="AY42" s="61"/>
      <c r="AZ42" s="11"/>
      <c r="BA42" s="11"/>
      <c r="BB42" s="11"/>
      <c r="BC42" s="11"/>
      <c r="BD42" s="61"/>
      <c r="BE42" s="11"/>
      <c r="BF42" s="11"/>
      <c r="BG42" s="11"/>
      <c r="BH42" s="11"/>
      <c r="BI42" s="61"/>
      <c r="BJ42" s="11"/>
      <c r="BK42" s="11"/>
      <c r="BL42" s="11"/>
      <c r="BM42" s="11"/>
      <c r="BN42" s="61"/>
      <c r="BO42" s="11"/>
      <c r="BP42" s="11"/>
      <c r="BQ42" s="11"/>
      <c r="BR42" s="11"/>
      <c r="BS42" s="61"/>
      <c r="BT42" s="11"/>
      <c r="BU42" s="11"/>
      <c r="BV42" s="11"/>
      <c r="BW42" s="11"/>
      <c r="BX42" s="61"/>
      <c r="BY42" s="11"/>
      <c r="BZ42" s="11"/>
      <c r="CA42" s="11"/>
      <c r="CB42" s="11"/>
      <c r="CC42" s="61"/>
      <c r="CD42" s="11"/>
      <c r="CE42" s="11"/>
      <c r="CF42" s="11"/>
      <c r="CG42" s="11"/>
      <c r="CH42" s="61"/>
      <c r="CI42" s="11"/>
      <c r="CJ42" s="11"/>
      <c r="CK42" s="11"/>
      <c r="CL42" s="11"/>
      <c r="CM42" s="61"/>
      <c r="CN42" s="11"/>
      <c r="CO42" s="11"/>
      <c r="CP42" s="11"/>
      <c r="CQ42" s="11"/>
      <c r="CR42" s="61"/>
    </row>
    <row r="43" spans="1:96" ht="11.9" customHeight="1" x14ac:dyDescent="0.2">
      <c r="A43" s="6" t="s">
        <v>188</v>
      </c>
      <c r="B43" s="10"/>
      <c r="C43" s="10"/>
      <c r="D43" s="10"/>
      <c r="E43" s="10"/>
      <c r="F43" s="61"/>
      <c r="G43" s="10"/>
      <c r="H43" s="10"/>
      <c r="I43" s="10"/>
      <c r="J43" s="10"/>
      <c r="K43" s="61"/>
      <c r="L43" s="10"/>
      <c r="M43" s="10"/>
      <c r="N43" s="10"/>
      <c r="O43" s="10"/>
      <c r="P43" s="61"/>
      <c r="Q43" s="10"/>
      <c r="R43" s="10"/>
      <c r="S43" s="10"/>
      <c r="T43" s="10"/>
      <c r="U43" s="61"/>
      <c r="V43" s="10"/>
      <c r="W43" s="10"/>
      <c r="X43" s="10"/>
      <c r="Y43" s="10"/>
      <c r="Z43" s="61"/>
      <c r="AA43" s="10"/>
      <c r="AB43" s="10"/>
      <c r="AC43" s="10"/>
      <c r="AD43" s="10"/>
      <c r="AE43" s="61"/>
      <c r="AF43" s="10"/>
      <c r="AG43" s="10"/>
      <c r="AH43" s="10"/>
      <c r="AI43" s="10"/>
      <c r="AJ43" s="61"/>
      <c r="AK43" s="10"/>
      <c r="AL43" s="10"/>
      <c r="AM43" s="10"/>
      <c r="AN43" s="10"/>
      <c r="AO43" s="61"/>
      <c r="AP43" s="10"/>
      <c r="AQ43" s="10"/>
      <c r="AR43" s="10"/>
      <c r="AS43" s="10"/>
      <c r="AT43" s="61"/>
      <c r="AU43" s="10"/>
      <c r="AV43" s="10"/>
      <c r="AW43" s="10"/>
      <c r="AX43" s="10"/>
      <c r="AY43" s="61"/>
      <c r="AZ43" s="10"/>
      <c r="BA43" s="10"/>
      <c r="BB43" s="10"/>
      <c r="BC43" s="10"/>
      <c r="BD43" s="61"/>
      <c r="BE43" s="10"/>
      <c r="BF43" s="10"/>
      <c r="BG43" s="10"/>
      <c r="BH43" s="10"/>
      <c r="BI43" s="61"/>
      <c r="BJ43" s="10"/>
      <c r="BK43" s="10"/>
      <c r="BL43" s="10"/>
      <c r="BM43" s="10"/>
      <c r="BN43" s="61"/>
      <c r="BO43" s="10"/>
      <c r="BP43" s="10"/>
      <c r="BQ43" s="10"/>
      <c r="BR43" s="10"/>
      <c r="BS43" s="61"/>
      <c r="BT43" s="10"/>
      <c r="BU43" s="10"/>
      <c r="BV43" s="10"/>
      <c r="BW43" s="10"/>
      <c r="BX43" s="61"/>
      <c r="BY43" s="10"/>
      <c r="BZ43" s="10"/>
      <c r="CA43" s="10"/>
      <c r="CB43" s="10"/>
      <c r="CC43" s="61"/>
      <c r="CD43" s="10"/>
      <c r="CE43" s="10"/>
      <c r="CF43" s="10"/>
      <c r="CG43" s="10"/>
      <c r="CH43" s="61"/>
      <c r="CI43" s="10"/>
      <c r="CJ43" s="10"/>
      <c r="CK43" s="10"/>
      <c r="CL43" s="10"/>
      <c r="CM43" s="61"/>
      <c r="CN43" s="10"/>
      <c r="CO43" s="10"/>
      <c r="CP43" s="10"/>
      <c r="CQ43" s="10"/>
      <c r="CR43" s="61"/>
    </row>
    <row r="44" spans="1:96" ht="11.15" customHeight="1" x14ac:dyDescent="0.2">
      <c r="A44" s="7" t="s">
        <v>90</v>
      </c>
      <c r="B44" s="10"/>
      <c r="C44" s="39">
        <v>4</v>
      </c>
      <c r="D44" s="39">
        <v>4</v>
      </c>
      <c r="E44" s="39">
        <v>4</v>
      </c>
      <c r="F44" s="61">
        <f t="shared" ref="F44:F49" si="82">E44</f>
        <v>4</v>
      </c>
      <c r="G44" s="39">
        <v>4</v>
      </c>
      <c r="H44" s="39">
        <v>4</v>
      </c>
      <c r="I44" s="39">
        <v>4</v>
      </c>
      <c r="J44" s="39">
        <v>4</v>
      </c>
      <c r="K44" s="61">
        <f t="shared" ref="K44:K49" si="83">J44</f>
        <v>4</v>
      </c>
      <c r="L44" s="39">
        <v>4</v>
      </c>
      <c r="M44" s="39">
        <v>4</v>
      </c>
      <c r="N44" s="39">
        <v>4</v>
      </c>
      <c r="O44" s="39">
        <v>4</v>
      </c>
      <c r="P44" s="61">
        <f t="shared" ref="P44:P49" si="84">O44</f>
        <v>4</v>
      </c>
      <c r="Q44" s="39">
        <v>5</v>
      </c>
      <c r="R44" s="39">
        <v>5</v>
      </c>
      <c r="S44" s="39">
        <v>5</v>
      </c>
      <c r="T44" s="39">
        <v>5</v>
      </c>
      <c r="U44" s="61">
        <f t="shared" ref="U44:U49" si="85">T44</f>
        <v>5</v>
      </c>
      <c r="V44" s="39">
        <v>5</v>
      </c>
      <c r="W44" s="39">
        <v>5</v>
      </c>
      <c r="X44" s="39">
        <v>5</v>
      </c>
      <c r="Y44" s="39">
        <v>5</v>
      </c>
      <c r="Z44" s="61">
        <f t="shared" ref="Z44:Z49" si="86">Y44</f>
        <v>5</v>
      </c>
      <c r="AA44" s="39">
        <v>5</v>
      </c>
      <c r="AB44" s="39">
        <v>5</v>
      </c>
      <c r="AC44" s="39">
        <v>5</v>
      </c>
      <c r="AD44" s="39">
        <v>5</v>
      </c>
      <c r="AE44" s="61">
        <f t="shared" ref="AE44:AE49" si="87">AD44</f>
        <v>5</v>
      </c>
      <c r="AF44" s="39">
        <v>5</v>
      </c>
      <c r="AG44" s="39">
        <v>5</v>
      </c>
      <c r="AH44" s="39">
        <v>5</v>
      </c>
      <c r="AI44" s="39">
        <v>5</v>
      </c>
      <c r="AJ44" s="61">
        <f t="shared" ref="AJ44:AJ49" si="88">AI44</f>
        <v>5</v>
      </c>
      <c r="AK44" s="39">
        <v>5</v>
      </c>
      <c r="AL44" s="39">
        <v>5</v>
      </c>
      <c r="AM44" s="39">
        <v>5</v>
      </c>
      <c r="AN44" s="39">
        <v>5</v>
      </c>
      <c r="AO44" s="61">
        <f t="shared" ref="AO44:AO49" si="89">AN44</f>
        <v>5</v>
      </c>
      <c r="AP44" s="39">
        <v>5</v>
      </c>
      <c r="AQ44" s="39">
        <v>5</v>
      </c>
      <c r="AR44" s="39">
        <v>5</v>
      </c>
      <c r="AS44" s="39">
        <v>5</v>
      </c>
      <c r="AT44" s="61">
        <f t="shared" ref="AT44:AT49" si="90">AS44</f>
        <v>5</v>
      </c>
      <c r="AU44" s="39">
        <v>5</v>
      </c>
      <c r="AV44" s="39">
        <v>5</v>
      </c>
      <c r="AW44" s="39">
        <v>5</v>
      </c>
      <c r="AX44" s="39">
        <v>5</v>
      </c>
      <c r="AY44" s="61">
        <f t="shared" ref="AY44:AY49" si="91">AX44</f>
        <v>5</v>
      </c>
      <c r="AZ44" s="39">
        <v>5</v>
      </c>
      <c r="BA44" s="39">
        <v>5</v>
      </c>
      <c r="BB44" s="39">
        <v>5</v>
      </c>
      <c r="BC44" s="39">
        <v>5</v>
      </c>
      <c r="BD44" s="61">
        <f t="shared" ref="BD44:BD49" si="92">BC44</f>
        <v>5</v>
      </c>
      <c r="BE44" s="39">
        <v>5</v>
      </c>
      <c r="BF44" s="39">
        <v>5</v>
      </c>
      <c r="BG44" s="39">
        <v>5</v>
      </c>
      <c r="BH44" s="39">
        <v>5</v>
      </c>
      <c r="BI44" s="61">
        <f t="shared" ref="BI44:BI49" si="93">BH44</f>
        <v>5</v>
      </c>
      <c r="BJ44" s="39">
        <v>5</v>
      </c>
      <c r="BK44" s="36">
        <v>5</v>
      </c>
      <c r="BL44" s="36">
        <v>5</v>
      </c>
      <c r="BM44" s="39">
        <v>5</v>
      </c>
      <c r="BN44" s="61">
        <f t="shared" ref="BN44:BN49" si="94">BM44</f>
        <v>5</v>
      </c>
      <c r="BO44" s="39">
        <v>5</v>
      </c>
      <c r="BP44" s="36">
        <v>5</v>
      </c>
      <c r="BQ44" s="36">
        <v>5</v>
      </c>
      <c r="BR44" s="39">
        <v>5</v>
      </c>
      <c r="BS44" s="61">
        <f t="shared" ref="BS44:BS49" si="95">BR44</f>
        <v>5</v>
      </c>
      <c r="BT44" s="39">
        <v>6</v>
      </c>
      <c r="BU44" s="36">
        <v>6</v>
      </c>
      <c r="BV44" s="36">
        <v>6</v>
      </c>
      <c r="BW44" s="39">
        <v>6</v>
      </c>
      <c r="BX44" s="61">
        <f t="shared" ref="BX44:BX49" si="96">BW44</f>
        <v>6</v>
      </c>
      <c r="BY44" s="39">
        <v>6</v>
      </c>
      <c r="BZ44" s="36">
        <v>6</v>
      </c>
      <c r="CA44" s="36">
        <v>6</v>
      </c>
      <c r="CB44" s="36">
        <v>6</v>
      </c>
      <c r="CC44" s="61">
        <f t="shared" ref="CC44:CC49" si="97">CB44</f>
        <v>6</v>
      </c>
      <c r="CD44" s="39">
        <v>6</v>
      </c>
      <c r="CE44" s="36">
        <v>6</v>
      </c>
      <c r="CF44" s="36">
        <v>6</v>
      </c>
      <c r="CG44" s="36">
        <v>6</v>
      </c>
      <c r="CH44" s="61">
        <f>CG44</f>
        <v>6</v>
      </c>
      <c r="CI44" s="39">
        <v>6</v>
      </c>
      <c r="CJ44" s="36">
        <v>6</v>
      </c>
      <c r="CK44" s="36">
        <v>6</v>
      </c>
      <c r="CL44" s="36">
        <v>6</v>
      </c>
      <c r="CM44" s="61">
        <f>CL44</f>
        <v>6</v>
      </c>
      <c r="CN44" s="39">
        <v>6</v>
      </c>
      <c r="CO44" s="36">
        <v>6</v>
      </c>
      <c r="CP44" s="36"/>
      <c r="CQ44" s="36"/>
      <c r="CR44" s="61">
        <f>CQ44</f>
        <v>0</v>
      </c>
    </row>
    <row r="45" spans="1:96" ht="11.15" customHeight="1" x14ac:dyDescent="0.2">
      <c r="A45" s="7" t="s">
        <v>32</v>
      </c>
      <c r="B45" s="10"/>
      <c r="C45" s="39">
        <v>0</v>
      </c>
      <c r="D45" s="39">
        <v>0</v>
      </c>
      <c r="E45" s="39">
        <v>0</v>
      </c>
      <c r="F45" s="61">
        <f t="shared" si="82"/>
        <v>0</v>
      </c>
      <c r="G45" s="39">
        <v>0</v>
      </c>
      <c r="H45" s="39">
        <v>0</v>
      </c>
      <c r="I45" s="39">
        <v>0</v>
      </c>
      <c r="J45" s="39">
        <v>0</v>
      </c>
      <c r="K45" s="61">
        <f t="shared" si="83"/>
        <v>0</v>
      </c>
      <c r="L45" s="39">
        <v>0</v>
      </c>
      <c r="M45" s="39">
        <v>0</v>
      </c>
      <c r="N45" s="39">
        <v>0</v>
      </c>
      <c r="O45" s="39">
        <v>0</v>
      </c>
      <c r="P45" s="61">
        <f t="shared" si="84"/>
        <v>0</v>
      </c>
      <c r="Q45" s="39">
        <v>0</v>
      </c>
      <c r="R45" s="39">
        <v>0</v>
      </c>
      <c r="S45" s="39">
        <v>0</v>
      </c>
      <c r="T45" s="39">
        <v>0</v>
      </c>
      <c r="U45" s="61">
        <f t="shared" si="85"/>
        <v>0</v>
      </c>
      <c r="V45" s="39">
        <v>0</v>
      </c>
      <c r="W45" s="39">
        <v>0</v>
      </c>
      <c r="X45" s="39">
        <v>0</v>
      </c>
      <c r="Y45" s="39">
        <v>0</v>
      </c>
      <c r="Z45" s="61">
        <f t="shared" si="86"/>
        <v>0</v>
      </c>
      <c r="AA45" s="39">
        <v>0</v>
      </c>
      <c r="AB45" s="39">
        <v>0</v>
      </c>
      <c r="AC45" s="39">
        <v>0</v>
      </c>
      <c r="AD45" s="39">
        <v>0</v>
      </c>
      <c r="AE45" s="61">
        <f t="shared" si="87"/>
        <v>0</v>
      </c>
      <c r="AF45" s="39">
        <v>0</v>
      </c>
      <c r="AG45" s="39">
        <v>0</v>
      </c>
      <c r="AH45" s="39">
        <v>0</v>
      </c>
      <c r="AI45" s="39">
        <v>0</v>
      </c>
      <c r="AJ45" s="61">
        <f t="shared" si="88"/>
        <v>0</v>
      </c>
      <c r="AK45" s="39">
        <v>0</v>
      </c>
      <c r="AL45" s="39">
        <v>0</v>
      </c>
      <c r="AM45" s="39">
        <v>0</v>
      </c>
      <c r="AN45" s="39">
        <v>0</v>
      </c>
      <c r="AO45" s="61">
        <f t="shared" si="89"/>
        <v>0</v>
      </c>
      <c r="AP45" s="39">
        <v>0</v>
      </c>
      <c r="AQ45" s="39">
        <v>0</v>
      </c>
      <c r="AR45" s="39">
        <v>0</v>
      </c>
      <c r="AS45" s="39">
        <v>0</v>
      </c>
      <c r="AT45" s="61">
        <f t="shared" si="90"/>
        <v>0</v>
      </c>
      <c r="AU45" s="39">
        <v>0</v>
      </c>
      <c r="AV45" s="39">
        <v>0</v>
      </c>
      <c r="AW45" s="39">
        <v>0</v>
      </c>
      <c r="AX45" s="39">
        <v>0</v>
      </c>
      <c r="AY45" s="61">
        <f t="shared" si="91"/>
        <v>0</v>
      </c>
      <c r="AZ45" s="39">
        <v>0</v>
      </c>
      <c r="BA45" s="39">
        <v>0</v>
      </c>
      <c r="BB45" s="39">
        <v>-3483</v>
      </c>
      <c r="BC45" s="39">
        <v>-8946</v>
      </c>
      <c r="BD45" s="61">
        <f t="shared" si="92"/>
        <v>-8946</v>
      </c>
      <c r="BE45" s="39">
        <v>-21485</v>
      </c>
      <c r="BF45" s="39">
        <v>-33058</v>
      </c>
      <c r="BG45" s="39">
        <v>-35857</v>
      </c>
      <c r="BH45" s="39">
        <v>-48933</v>
      </c>
      <c r="BI45" s="61">
        <f t="shared" si="93"/>
        <v>-48933</v>
      </c>
      <c r="BJ45" s="39">
        <v>-69004</v>
      </c>
      <c r="BK45" s="36">
        <v>-99997</v>
      </c>
      <c r="BL45" s="36">
        <v>-160859</v>
      </c>
      <c r="BM45" s="39">
        <v>-224998</v>
      </c>
      <c r="BN45" s="61">
        <f t="shared" si="94"/>
        <v>-224998</v>
      </c>
      <c r="BO45" s="39">
        <v>-224998</v>
      </c>
      <c r="BP45" s="36">
        <v>-227282</v>
      </c>
      <c r="BQ45" s="36">
        <v>-250919</v>
      </c>
      <c r="BR45" s="39">
        <v>-265730</v>
      </c>
      <c r="BS45" s="61">
        <f t="shared" si="95"/>
        <v>-265730</v>
      </c>
      <c r="BT45" s="39">
        <v>-278446</v>
      </c>
      <c r="BU45" s="36">
        <v>-293960</v>
      </c>
      <c r="BV45" s="36">
        <v>-303614</v>
      </c>
      <c r="BW45" s="39">
        <v>-303614</v>
      </c>
      <c r="BX45" s="61">
        <f t="shared" si="96"/>
        <v>-303614</v>
      </c>
      <c r="BY45" s="39">
        <v>-306662</v>
      </c>
      <c r="BZ45" s="36">
        <v>-345345</v>
      </c>
      <c r="CA45" s="36">
        <v>-381685</v>
      </c>
      <c r="CB45" s="36">
        <v>-438503</v>
      </c>
      <c r="CC45" s="61">
        <f t="shared" si="97"/>
        <v>-438503</v>
      </c>
      <c r="CD45" s="39">
        <v>-517260</v>
      </c>
      <c r="CE45" s="36">
        <v>-750109</v>
      </c>
      <c r="CF45" s="36">
        <v>-821388</v>
      </c>
      <c r="CG45" s="36">
        <v>-938009</v>
      </c>
      <c r="CH45" s="61">
        <f t="shared" ref="CH45:CH49" si="98">CG45</f>
        <v>-938009</v>
      </c>
      <c r="CI45" s="39">
        <v>-1051103</v>
      </c>
      <c r="CJ45" s="36">
        <v>-1051040</v>
      </c>
      <c r="CK45" s="36">
        <v>-1097537</v>
      </c>
      <c r="CL45" s="36">
        <v>-1161505</v>
      </c>
      <c r="CM45" s="61">
        <f t="shared" ref="CM45:CM49" si="99">CL45</f>
        <v>-1161505</v>
      </c>
      <c r="CN45" s="39">
        <v>-1251121</v>
      </c>
      <c r="CO45" s="36">
        <v>-1373525</v>
      </c>
      <c r="CP45" s="36"/>
      <c r="CQ45" s="36"/>
      <c r="CR45" s="61">
        <f t="shared" ref="CR45:CR49" si="100">CQ45</f>
        <v>0</v>
      </c>
    </row>
    <row r="46" spans="1:96" ht="11.15" customHeight="1" x14ac:dyDescent="0.2">
      <c r="A46" s="7" t="s">
        <v>60</v>
      </c>
      <c r="B46" s="10"/>
      <c r="C46" s="39">
        <f>94912+4880+5100+92285</f>
        <v>197177</v>
      </c>
      <c r="D46" s="39">
        <f>94714+4880+5100+92802</f>
        <v>197496</v>
      </c>
      <c r="E46" s="39">
        <v>271122</v>
      </c>
      <c r="F46" s="61">
        <f t="shared" si="82"/>
        <v>271122</v>
      </c>
      <c r="G46" s="39">
        <v>271363</v>
      </c>
      <c r="H46" s="39">
        <v>272326</v>
      </c>
      <c r="I46" s="39">
        <v>273720</v>
      </c>
      <c r="J46" s="39">
        <v>275506</v>
      </c>
      <c r="K46" s="61">
        <f t="shared" si="83"/>
        <v>275506</v>
      </c>
      <c r="L46" s="39">
        <v>276203</v>
      </c>
      <c r="M46" s="39">
        <v>277875</v>
      </c>
      <c r="N46" s="39">
        <v>279364</v>
      </c>
      <c r="O46" s="39">
        <v>283217</v>
      </c>
      <c r="P46" s="61">
        <f t="shared" si="84"/>
        <v>283217</v>
      </c>
      <c r="Q46" s="39">
        <v>288209</v>
      </c>
      <c r="R46" s="39">
        <v>289242</v>
      </c>
      <c r="S46" s="39">
        <v>291673</v>
      </c>
      <c r="T46" s="39">
        <v>293743</v>
      </c>
      <c r="U46" s="61">
        <f t="shared" si="85"/>
        <v>293743</v>
      </c>
      <c r="V46" s="39">
        <v>294724</v>
      </c>
      <c r="W46" s="39">
        <v>296572</v>
      </c>
      <c r="X46" s="39">
        <v>302934</v>
      </c>
      <c r="Y46" s="39">
        <v>310218</v>
      </c>
      <c r="Z46" s="61">
        <f t="shared" si="86"/>
        <v>310218</v>
      </c>
      <c r="AA46" s="39">
        <v>317709</v>
      </c>
      <c r="AB46" s="39">
        <v>325783</v>
      </c>
      <c r="AC46" s="39">
        <v>329416</v>
      </c>
      <c r="AD46" s="39">
        <v>332585</v>
      </c>
      <c r="AE46" s="61">
        <f t="shared" si="87"/>
        <v>332585</v>
      </c>
      <c r="AF46" s="39">
        <v>504243</v>
      </c>
      <c r="AG46" s="39">
        <v>499951</v>
      </c>
      <c r="AH46" s="39">
        <v>506854</v>
      </c>
      <c r="AI46" s="39">
        <v>511039</v>
      </c>
      <c r="AJ46" s="61">
        <f t="shared" si="88"/>
        <v>511039</v>
      </c>
      <c r="AK46" s="39">
        <v>515755</v>
      </c>
      <c r="AL46" s="39">
        <v>521044</v>
      </c>
      <c r="AM46" s="39">
        <v>526481</v>
      </c>
      <c r="AN46" s="39">
        <v>538908</v>
      </c>
      <c r="AO46" s="61">
        <f t="shared" si="89"/>
        <v>538908</v>
      </c>
      <c r="AP46" s="39">
        <v>544351</v>
      </c>
      <c r="AQ46" s="39">
        <v>551885</v>
      </c>
      <c r="AR46" s="39">
        <v>556401</v>
      </c>
      <c r="AS46" s="39">
        <v>567617</v>
      </c>
      <c r="AT46" s="61">
        <f t="shared" si="90"/>
        <v>567617</v>
      </c>
      <c r="AU46" s="39">
        <v>580926</v>
      </c>
      <c r="AV46" s="39">
        <v>591718</v>
      </c>
      <c r="AW46" s="39">
        <v>597803</v>
      </c>
      <c r="AX46" s="39">
        <v>607649</v>
      </c>
      <c r="AY46" s="61">
        <f t="shared" si="91"/>
        <v>607649</v>
      </c>
      <c r="AZ46" s="39">
        <v>616156</v>
      </c>
      <c r="BA46" s="39">
        <v>629694</v>
      </c>
      <c r="BB46" s="39">
        <v>635778</v>
      </c>
      <c r="BC46" s="39">
        <v>650974</v>
      </c>
      <c r="BD46" s="61">
        <f t="shared" si="92"/>
        <v>650974</v>
      </c>
      <c r="BE46" s="39">
        <v>668003</v>
      </c>
      <c r="BF46" s="39">
        <v>681263</v>
      </c>
      <c r="BG46" s="39">
        <v>693337</v>
      </c>
      <c r="BH46" s="39">
        <v>704727</v>
      </c>
      <c r="BI46" s="61">
        <f t="shared" si="93"/>
        <v>704727</v>
      </c>
      <c r="BJ46" s="39">
        <v>714255</v>
      </c>
      <c r="BK46" s="36">
        <v>729082</v>
      </c>
      <c r="BL46" s="36">
        <v>738285</v>
      </c>
      <c r="BM46" s="39">
        <v>744937</v>
      </c>
      <c r="BN46" s="61">
        <f t="shared" si="94"/>
        <v>744937</v>
      </c>
      <c r="BO46" s="39">
        <v>746926</v>
      </c>
      <c r="BP46" s="36">
        <v>761936</v>
      </c>
      <c r="BQ46" s="36">
        <v>772152</v>
      </c>
      <c r="BR46" s="39">
        <v>785636</v>
      </c>
      <c r="BS46" s="61">
        <f t="shared" si="95"/>
        <v>785636</v>
      </c>
      <c r="BT46" s="39">
        <v>788568</v>
      </c>
      <c r="BU46" s="36">
        <v>811559</v>
      </c>
      <c r="BV46" s="36">
        <v>828796</v>
      </c>
      <c r="BW46" s="39">
        <v>854301</v>
      </c>
      <c r="BX46" s="61">
        <f t="shared" si="96"/>
        <v>854301</v>
      </c>
      <c r="BY46" s="39">
        <v>868097</v>
      </c>
      <c r="BZ46" s="36">
        <v>883546</v>
      </c>
      <c r="CA46" s="36">
        <v>894264</v>
      </c>
      <c r="CB46" s="36">
        <v>908423</v>
      </c>
      <c r="CC46" s="61">
        <f t="shared" si="97"/>
        <v>908423</v>
      </c>
      <c r="CD46" s="39">
        <v>917693</v>
      </c>
      <c r="CE46" s="36">
        <v>930950</v>
      </c>
      <c r="CF46" s="36">
        <v>939040</v>
      </c>
      <c r="CG46" s="36">
        <v>951371</v>
      </c>
      <c r="CH46" s="61">
        <f t="shared" si="98"/>
        <v>951371</v>
      </c>
      <c r="CI46" s="39">
        <v>957103</v>
      </c>
      <c r="CJ46" s="36">
        <v>969889</v>
      </c>
      <c r="CK46" s="36">
        <v>978331</v>
      </c>
      <c r="CL46" s="36">
        <v>994020</v>
      </c>
      <c r="CM46" s="61">
        <f t="shared" si="99"/>
        <v>994020</v>
      </c>
      <c r="CN46" s="39">
        <v>1002600</v>
      </c>
      <c r="CO46" s="36">
        <v>1014094</v>
      </c>
      <c r="CP46" s="36"/>
      <c r="CQ46" s="36"/>
      <c r="CR46" s="61">
        <f t="shared" si="100"/>
        <v>0</v>
      </c>
    </row>
    <row r="47" spans="1:96" ht="11.15" customHeight="1" x14ac:dyDescent="0.2">
      <c r="A47" s="7" t="s">
        <v>119</v>
      </c>
      <c r="B47" s="10"/>
      <c r="C47" s="39">
        <v>-463</v>
      </c>
      <c r="D47" s="39">
        <v>-23</v>
      </c>
      <c r="E47" s="39">
        <v>-23</v>
      </c>
      <c r="F47" s="61">
        <f t="shared" si="82"/>
        <v>-23</v>
      </c>
      <c r="G47" s="39">
        <v>-23</v>
      </c>
      <c r="H47" s="39">
        <v>0</v>
      </c>
      <c r="I47" s="39">
        <v>0</v>
      </c>
      <c r="J47" s="39">
        <v>0</v>
      </c>
      <c r="K47" s="61">
        <f t="shared" si="83"/>
        <v>0</v>
      </c>
      <c r="L47" s="39">
        <v>0</v>
      </c>
      <c r="M47" s="39">
        <v>0</v>
      </c>
      <c r="N47" s="39">
        <v>0</v>
      </c>
      <c r="O47" s="39">
        <v>0</v>
      </c>
      <c r="P47" s="61">
        <f t="shared" si="84"/>
        <v>0</v>
      </c>
      <c r="Q47" s="39">
        <v>0</v>
      </c>
      <c r="R47" s="39">
        <v>0</v>
      </c>
      <c r="S47" s="39">
        <v>0</v>
      </c>
      <c r="T47" s="39">
        <v>0</v>
      </c>
      <c r="U47" s="61">
        <f t="shared" si="85"/>
        <v>0</v>
      </c>
      <c r="V47" s="39">
        <v>0</v>
      </c>
      <c r="W47" s="39">
        <v>0</v>
      </c>
      <c r="X47" s="39">
        <v>0</v>
      </c>
      <c r="Y47" s="39">
        <v>0</v>
      </c>
      <c r="Z47" s="61">
        <f t="shared" si="86"/>
        <v>0</v>
      </c>
      <c r="AA47" s="39">
        <v>0</v>
      </c>
      <c r="AB47" s="39">
        <v>0</v>
      </c>
      <c r="AC47" s="39">
        <v>0</v>
      </c>
      <c r="AD47" s="39">
        <v>0</v>
      </c>
      <c r="AE47" s="61">
        <f t="shared" si="87"/>
        <v>0</v>
      </c>
      <c r="AF47" s="39">
        <v>0</v>
      </c>
      <c r="AG47" s="39">
        <v>0</v>
      </c>
      <c r="AH47" s="39">
        <v>0</v>
      </c>
      <c r="AI47" s="39">
        <v>0</v>
      </c>
      <c r="AJ47" s="61">
        <f t="shared" si="88"/>
        <v>0</v>
      </c>
      <c r="AK47" s="39">
        <v>0</v>
      </c>
      <c r="AL47" s="39">
        <v>0</v>
      </c>
      <c r="AM47" s="39">
        <v>0</v>
      </c>
      <c r="AN47" s="39">
        <v>0</v>
      </c>
      <c r="AO47" s="61">
        <f t="shared" si="89"/>
        <v>0</v>
      </c>
      <c r="AP47" s="39">
        <v>0</v>
      </c>
      <c r="AQ47" s="39">
        <v>0</v>
      </c>
      <c r="AR47" s="39">
        <v>0</v>
      </c>
      <c r="AS47" s="39">
        <v>0</v>
      </c>
      <c r="AT47" s="61">
        <f t="shared" si="90"/>
        <v>0</v>
      </c>
      <c r="AU47" s="39">
        <v>0</v>
      </c>
      <c r="AV47" s="39">
        <v>0</v>
      </c>
      <c r="AW47" s="39">
        <v>0</v>
      </c>
      <c r="AX47" s="39">
        <v>0</v>
      </c>
      <c r="AY47" s="61">
        <f t="shared" si="91"/>
        <v>0</v>
      </c>
      <c r="AZ47" s="39">
        <v>0</v>
      </c>
      <c r="BA47" s="39">
        <v>0</v>
      </c>
      <c r="BB47" s="39">
        <v>0</v>
      </c>
      <c r="BC47" s="39">
        <v>0</v>
      </c>
      <c r="BD47" s="61">
        <f t="shared" si="92"/>
        <v>0</v>
      </c>
      <c r="BE47" s="39">
        <v>0</v>
      </c>
      <c r="BF47" s="39">
        <v>0</v>
      </c>
      <c r="BG47" s="39">
        <v>0</v>
      </c>
      <c r="BH47" s="39">
        <v>0</v>
      </c>
      <c r="BI47" s="61">
        <f t="shared" si="93"/>
        <v>0</v>
      </c>
      <c r="BJ47" s="39">
        <v>0</v>
      </c>
      <c r="BK47" s="39">
        <v>0</v>
      </c>
      <c r="BL47" s="39">
        <v>0</v>
      </c>
      <c r="BM47" s="39">
        <v>0</v>
      </c>
      <c r="BN47" s="61">
        <f t="shared" si="94"/>
        <v>0</v>
      </c>
      <c r="BO47" s="39">
        <v>0</v>
      </c>
      <c r="BP47" s="39">
        <v>0</v>
      </c>
      <c r="BQ47" s="39">
        <v>0</v>
      </c>
      <c r="BR47" s="39">
        <v>0</v>
      </c>
      <c r="BS47" s="61">
        <f t="shared" si="95"/>
        <v>0</v>
      </c>
      <c r="BT47" s="39">
        <v>0</v>
      </c>
      <c r="BU47" s="39">
        <v>0</v>
      </c>
      <c r="BV47" s="39">
        <v>0</v>
      </c>
      <c r="BW47" s="39">
        <v>0</v>
      </c>
      <c r="BX47" s="61">
        <f t="shared" si="96"/>
        <v>0</v>
      </c>
      <c r="BY47" s="39">
        <v>0</v>
      </c>
      <c r="BZ47" s="39">
        <v>0</v>
      </c>
      <c r="CA47" s="39">
        <v>0</v>
      </c>
      <c r="CB47" s="39">
        <v>0</v>
      </c>
      <c r="CC47" s="61">
        <f t="shared" si="97"/>
        <v>0</v>
      </c>
      <c r="CD47" s="39">
        <v>0</v>
      </c>
      <c r="CE47" s="39">
        <v>0</v>
      </c>
      <c r="CF47" s="39">
        <v>0</v>
      </c>
      <c r="CG47" s="39">
        <v>0</v>
      </c>
      <c r="CH47" s="61">
        <f t="shared" si="98"/>
        <v>0</v>
      </c>
      <c r="CI47" s="39">
        <v>0</v>
      </c>
      <c r="CJ47" s="39">
        <v>0</v>
      </c>
      <c r="CK47" s="39">
        <v>0</v>
      </c>
      <c r="CL47" s="39">
        <v>0</v>
      </c>
      <c r="CM47" s="61">
        <f t="shared" si="99"/>
        <v>0</v>
      </c>
      <c r="CN47" s="39">
        <v>0</v>
      </c>
      <c r="CO47" s="39">
        <v>0</v>
      </c>
      <c r="CP47" s="39"/>
      <c r="CQ47" s="39"/>
      <c r="CR47" s="61">
        <f t="shared" si="100"/>
        <v>0</v>
      </c>
    </row>
    <row r="48" spans="1:96" ht="11.15" customHeight="1" x14ac:dyDescent="0.2">
      <c r="A48" s="7" t="s">
        <v>61</v>
      </c>
      <c r="B48" s="39">
        <f>-149625+'Income Statement'!B33+'Income Statement'!B32</f>
        <v>-146558</v>
      </c>
      <c r="C48" s="10">
        <f>'Income Statement'!C33+'Income Statement'!C32+'Balance Sheet'!B48</f>
        <v>-141775</v>
      </c>
      <c r="D48" s="10">
        <f>'Income Statement'!D33+'Income Statement'!D32+'Balance Sheet'!C48</f>
        <v>-137028</v>
      </c>
      <c r="E48" s="10">
        <f>'Income Statement'!E33+'Income Statement'!E32+'Balance Sheet'!D48</f>
        <v>-120392</v>
      </c>
      <c r="F48" s="61">
        <f t="shared" si="82"/>
        <v>-120392</v>
      </c>
      <c r="G48" s="10">
        <f>'Income Statement'!G33+'Balance Sheet'!F48</f>
        <v>-113779</v>
      </c>
      <c r="H48" s="10">
        <f>'Income Statement'!H33+'Balance Sheet'!G48</f>
        <v>-107391</v>
      </c>
      <c r="I48" s="10">
        <f>'Income Statement'!I33+'Balance Sheet'!H48</f>
        <v>-98834</v>
      </c>
      <c r="J48" s="10">
        <f>'Income Statement'!J33+'Balance Sheet'!I48</f>
        <v>-90497</v>
      </c>
      <c r="K48" s="61">
        <f t="shared" si="83"/>
        <v>-90497</v>
      </c>
      <c r="L48" s="10">
        <f>'Income Statement'!L33+'Balance Sheet'!K48</f>
        <v>-82348</v>
      </c>
      <c r="M48" s="10">
        <f>'Income Statement'!M33+'Balance Sheet'!L48</f>
        <v>-73796</v>
      </c>
      <c r="N48" s="10">
        <f>'Income Statement'!N33+'Balance Sheet'!M48</f>
        <v>-62903</v>
      </c>
      <c r="O48" s="10">
        <f>'Income Statement'!O33+'Balance Sheet'!N48</f>
        <v>-53843</v>
      </c>
      <c r="P48" s="61">
        <f t="shared" si="84"/>
        <v>-53843</v>
      </c>
      <c r="Q48" s="10">
        <f>'Income Statement'!Q33+'Balance Sheet'!P48</f>
        <v>-52572</v>
      </c>
      <c r="R48" s="10">
        <f>'Income Statement'!R33+'Balance Sheet'!Q48</f>
        <v>-53801</v>
      </c>
      <c r="S48" s="10">
        <f>'Income Statement'!S33+'Balance Sheet'!R48</f>
        <v>-51546</v>
      </c>
      <c r="T48" s="10">
        <f>'Income Statement'!T33+'Balance Sheet'!S48</f>
        <v>-48424</v>
      </c>
      <c r="U48" s="61">
        <f t="shared" si="85"/>
        <v>-48424</v>
      </c>
      <c r="V48" s="10">
        <f>'Income Statement'!V33+'Balance Sheet'!U48</f>
        <v>-45027</v>
      </c>
      <c r="W48" s="10">
        <f>'Income Statement'!W33+'Balance Sheet'!V48</f>
        <v>-34721</v>
      </c>
      <c r="X48" s="10">
        <f>'Income Statement'!X33+'Balance Sheet'!W48</f>
        <v>-21495</v>
      </c>
      <c r="Y48" s="10">
        <f>'Income Statement'!Y33+'Balance Sheet'!X48</f>
        <v>5567</v>
      </c>
      <c r="Z48" s="61">
        <f t="shared" si="86"/>
        <v>5567</v>
      </c>
      <c r="AA48" s="10">
        <f>'Income Statement'!AA33+'Balance Sheet'!Z48</f>
        <v>28635</v>
      </c>
      <c r="AB48" s="10">
        <f>'Income Statement'!AB33+'Balance Sheet'!AA48</f>
        <v>59371</v>
      </c>
      <c r="AC48" s="10">
        <v>91753</v>
      </c>
      <c r="AD48" s="10">
        <v>122833</v>
      </c>
      <c r="AE48" s="61">
        <f t="shared" si="87"/>
        <v>122833</v>
      </c>
      <c r="AF48" s="10">
        <v>153241</v>
      </c>
      <c r="AG48" s="10">
        <f>'Income Statement'!AG33+'Balance Sheet'!AF48</f>
        <v>190983</v>
      </c>
      <c r="AH48" s="10">
        <f>'Income Statement'!AH33+'Balance Sheet'!AG48</f>
        <v>233418</v>
      </c>
      <c r="AI48" s="10">
        <v>234977</v>
      </c>
      <c r="AJ48" s="61">
        <f t="shared" si="88"/>
        <v>234977</v>
      </c>
      <c r="AK48" s="10">
        <f>'Income Statement'!AK33+'Balance Sheet'!AJ48</f>
        <v>270104</v>
      </c>
      <c r="AL48" s="10">
        <f>'Income Statement'!AL33+'Balance Sheet'!AK48</f>
        <v>311824</v>
      </c>
      <c r="AM48" s="10">
        <f>'Income Statement'!AM33+'Balance Sheet'!AL48</f>
        <v>354162</v>
      </c>
      <c r="AN48" s="10">
        <f>'Income Statement'!AN33+'Balance Sheet'!AM48</f>
        <v>390757</v>
      </c>
      <c r="AO48" s="61">
        <f t="shared" si="89"/>
        <v>390757</v>
      </c>
      <c r="AP48" s="10">
        <f>'Income Statement'!AP33+'Balance Sheet'!AO48</f>
        <v>431288</v>
      </c>
      <c r="AQ48" s="10">
        <f>'Income Statement'!AQ33+'Balance Sheet'!AP48</f>
        <v>479571</v>
      </c>
      <c r="AR48" s="10">
        <f>'Income Statement'!AR33+'Balance Sheet'!AQ48</f>
        <v>534771</v>
      </c>
      <c r="AS48" s="10">
        <f>'Income Statement'!AS33+'Balance Sheet'!AR48</f>
        <v>591202</v>
      </c>
      <c r="AT48" s="61">
        <f t="shared" si="90"/>
        <v>591202</v>
      </c>
      <c r="AU48" s="10">
        <f>'Income Statement'!AU33+'Balance Sheet'!AT48</f>
        <v>648561</v>
      </c>
      <c r="AV48" s="10">
        <f>'Income Statement'!AV33+'Balance Sheet'!AU48</f>
        <v>709860</v>
      </c>
      <c r="AW48" s="10">
        <v>772652</v>
      </c>
      <c r="AX48" s="10">
        <f>'Income Statement'!AX33+'Balance Sheet'!AW48</f>
        <v>833356</v>
      </c>
      <c r="AY48" s="61">
        <f t="shared" si="91"/>
        <v>833356</v>
      </c>
      <c r="AZ48" s="10">
        <f>'Income Statement'!AZ33+'Balance Sheet'!AY48</f>
        <v>882682</v>
      </c>
      <c r="BA48" s="10">
        <f>'Income Statement'!BA33+'Balance Sheet'!AZ48</f>
        <v>949741</v>
      </c>
      <c r="BB48" s="10">
        <f>'Income Statement'!BB33+'Balance Sheet'!BA48</f>
        <v>1018976</v>
      </c>
      <c r="BC48" s="10">
        <v>1094108</v>
      </c>
      <c r="BD48" s="61">
        <f t="shared" si="92"/>
        <v>1094108</v>
      </c>
      <c r="BE48" s="10">
        <f>'Income Statement'!BE33+'Balance Sheet'!BD48+2145</f>
        <v>1171198</v>
      </c>
      <c r="BF48" s="10">
        <f>'Income Statement'!BF33+'Balance Sheet'!BE48</f>
        <v>1275314</v>
      </c>
      <c r="BG48" s="10">
        <f>'Income Statement'!BG33+'Balance Sheet'!BF48</f>
        <v>1390911</v>
      </c>
      <c r="BH48" s="10">
        <f>'Income Statement'!BH33+'Balance Sheet'!BG48</f>
        <v>1443867</v>
      </c>
      <c r="BI48" s="61">
        <f t="shared" si="93"/>
        <v>1443867</v>
      </c>
      <c r="BJ48" s="10">
        <f>'Income Statement'!BJ33+'Balance Sheet'!BI48+606</f>
        <v>1550807</v>
      </c>
      <c r="BK48" s="10">
        <f>'Income Statement'!BK33+'Balance Sheet'!BJ48</f>
        <v>1672424</v>
      </c>
      <c r="BL48" s="10">
        <f>'Income Statement'!BL33+'Balance Sheet'!BK48</f>
        <v>1772941</v>
      </c>
      <c r="BM48" s="10">
        <f>'Income Statement'!BM33+'Balance Sheet'!BL48</f>
        <v>1848500</v>
      </c>
      <c r="BN48" s="61">
        <f t="shared" si="94"/>
        <v>1848500</v>
      </c>
      <c r="BO48" s="10">
        <f>'Income Statement'!BO33+'Balance Sheet'!BN48</f>
        <v>1903659</v>
      </c>
      <c r="BP48" s="10">
        <f>'Income Statement'!BP33+'Balance Sheet'!BO48</f>
        <v>1975931</v>
      </c>
      <c r="BQ48" s="10">
        <f>'Income Statement'!BQ33+'Balance Sheet'!BP48</f>
        <v>2033184</v>
      </c>
      <c r="BR48" s="10">
        <f>'Income Statement'!BR33+'Balance Sheet'!BQ48</f>
        <v>2028734</v>
      </c>
      <c r="BS48" s="61">
        <f t="shared" si="95"/>
        <v>2028734</v>
      </c>
      <c r="BT48" s="10">
        <f>'Income Statement'!BT33+'Balance Sheet'!BS48-115</f>
        <v>2065022</v>
      </c>
      <c r="BU48" s="10">
        <f>'Income Statement'!BU33+'Balance Sheet'!BT48</f>
        <v>2103248</v>
      </c>
      <c r="BV48" s="10">
        <v>2138852</v>
      </c>
      <c r="BW48" s="10">
        <v>2188191</v>
      </c>
      <c r="BX48" s="61">
        <f t="shared" si="96"/>
        <v>2188191</v>
      </c>
      <c r="BY48" s="39">
        <v>2256318</v>
      </c>
      <c r="BZ48" s="39">
        <v>2326118</v>
      </c>
      <c r="CA48" s="39">
        <v>2401520</v>
      </c>
      <c r="CB48" s="39">
        <v>2466607</v>
      </c>
      <c r="CC48" s="61">
        <f t="shared" si="97"/>
        <v>2466607</v>
      </c>
      <c r="CD48" s="39">
        <v>2536179</v>
      </c>
      <c r="CE48" s="39">
        <v>2593147</v>
      </c>
      <c r="CF48" s="39">
        <v>2669411</v>
      </c>
      <c r="CG48" s="39">
        <v>2576516</v>
      </c>
      <c r="CH48" s="61">
        <f t="shared" si="98"/>
        <v>2576516</v>
      </c>
      <c r="CI48" s="39">
        <v>2636651</v>
      </c>
      <c r="CJ48" s="39">
        <v>2698972</v>
      </c>
      <c r="CK48" s="39">
        <v>2753966</v>
      </c>
      <c r="CL48" s="39">
        <v>2795394</v>
      </c>
      <c r="CM48" s="61">
        <f t="shared" si="99"/>
        <v>2795394</v>
      </c>
      <c r="CN48" s="39">
        <v>2819493</v>
      </c>
      <c r="CO48" s="39">
        <v>2839647</v>
      </c>
      <c r="CP48" s="39"/>
      <c r="CQ48" s="39"/>
      <c r="CR48" s="61">
        <f t="shared" si="100"/>
        <v>0</v>
      </c>
    </row>
    <row r="49" spans="1:96" ht="11.15" customHeight="1" x14ac:dyDescent="0.2">
      <c r="A49" s="7" t="s">
        <v>234</v>
      </c>
      <c r="B49" s="10"/>
      <c r="C49" s="39">
        <v>5629</v>
      </c>
      <c r="D49" s="39">
        <v>6042</v>
      </c>
      <c r="E49" s="39">
        <v>7883</v>
      </c>
      <c r="F49" s="61">
        <f t="shared" si="82"/>
        <v>7883</v>
      </c>
      <c r="G49" s="39">
        <v>8458</v>
      </c>
      <c r="H49" s="39">
        <v>8986</v>
      </c>
      <c r="I49" s="39">
        <v>12646</v>
      </c>
      <c r="J49" s="39">
        <v>15167</v>
      </c>
      <c r="K49" s="61">
        <f t="shared" si="83"/>
        <v>15167</v>
      </c>
      <c r="L49" s="39">
        <v>21542</v>
      </c>
      <c r="M49" s="39">
        <v>21399</v>
      </c>
      <c r="N49" s="39">
        <v>11954</v>
      </c>
      <c r="O49" s="39">
        <v>8794</v>
      </c>
      <c r="P49" s="61">
        <f t="shared" si="84"/>
        <v>8794</v>
      </c>
      <c r="Q49" s="39">
        <v>1886</v>
      </c>
      <c r="R49" s="39">
        <v>8683</v>
      </c>
      <c r="S49" s="39">
        <v>12965</v>
      </c>
      <c r="T49" s="39">
        <v>11106</v>
      </c>
      <c r="U49" s="61">
        <f t="shared" si="85"/>
        <v>11106</v>
      </c>
      <c r="V49" s="39">
        <v>2582</v>
      </c>
      <c r="W49" s="39">
        <v>-9740</v>
      </c>
      <c r="X49" s="39">
        <v>3712</v>
      </c>
      <c r="Y49" s="39">
        <v>810</v>
      </c>
      <c r="Z49" s="61">
        <f t="shared" si="86"/>
        <v>810</v>
      </c>
      <c r="AA49" s="39">
        <v>13890</v>
      </c>
      <c r="AB49" s="39">
        <v>17000</v>
      </c>
      <c r="AC49" s="39">
        <v>-2447</v>
      </c>
      <c r="AD49" s="39">
        <v>-12100</v>
      </c>
      <c r="AE49" s="61">
        <f t="shared" si="87"/>
        <v>-12100</v>
      </c>
      <c r="AF49" s="39">
        <v>877</v>
      </c>
      <c r="AG49" s="39">
        <v>-21208</v>
      </c>
      <c r="AH49" s="39">
        <v>-10705</v>
      </c>
      <c r="AI49" s="39">
        <v>-3094</v>
      </c>
      <c r="AJ49" s="61">
        <f t="shared" si="88"/>
        <v>-3094</v>
      </c>
      <c r="AK49" s="39">
        <v>-12639</v>
      </c>
      <c r="AL49" s="39">
        <v>-16906</v>
      </c>
      <c r="AM49" s="39">
        <v>-4961</v>
      </c>
      <c r="AN49" s="39">
        <v>-1701</v>
      </c>
      <c r="AO49" s="61">
        <f t="shared" si="89"/>
        <v>-1701</v>
      </c>
      <c r="AP49" s="39">
        <v>-14328</v>
      </c>
      <c r="AQ49" s="39">
        <v>-7601</v>
      </c>
      <c r="AR49" s="39">
        <v>-54474</v>
      </c>
      <c r="AS49" s="39">
        <v>-112263</v>
      </c>
      <c r="AT49" s="61">
        <f t="shared" si="90"/>
        <v>-112263</v>
      </c>
      <c r="AU49" s="39">
        <v>-150539</v>
      </c>
      <c r="AV49" s="39">
        <v>-139262</v>
      </c>
      <c r="AW49" s="39">
        <v>-155802</v>
      </c>
      <c r="AX49" s="39">
        <v>-181482</v>
      </c>
      <c r="AY49" s="61">
        <f t="shared" si="91"/>
        <v>-181482</v>
      </c>
      <c r="AZ49" s="39">
        <v>-152987</v>
      </c>
      <c r="BA49" s="39">
        <v>-156451</v>
      </c>
      <c r="BB49" s="39">
        <v>-148430</v>
      </c>
      <c r="BC49" s="39">
        <v>-178583</v>
      </c>
      <c r="BD49" s="61">
        <f t="shared" si="92"/>
        <v>-178583</v>
      </c>
      <c r="BE49" s="39">
        <v>-151626</v>
      </c>
      <c r="BF49" s="39">
        <v>-119167</v>
      </c>
      <c r="BG49" s="39">
        <v>-89297</v>
      </c>
      <c r="BH49" s="39">
        <v>-77344</v>
      </c>
      <c r="BI49" s="61">
        <f t="shared" si="93"/>
        <v>-77344</v>
      </c>
      <c r="BJ49" s="39">
        <v>-50694</v>
      </c>
      <c r="BK49" s="39">
        <v>-129357</v>
      </c>
      <c r="BL49" s="39">
        <v>-144409</v>
      </c>
      <c r="BM49" s="39">
        <v>-162896</v>
      </c>
      <c r="BN49" s="61">
        <f t="shared" si="94"/>
        <v>-162896</v>
      </c>
      <c r="BO49" s="39">
        <v>-157751</v>
      </c>
      <c r="BP49" s="39">
        <v>-143943</v>
      </c>
      <c r="BQ49" s="39">
        <v>-174311</v>
      </c>
      <c r="BR49" s="39">
        <v>-146919</v>
      </c>
      <c r="BS49" s="61">
        <f t="shared" si="95"/>
        <v>-146919</v>
      </c>
      <c r="BT49" s="39">
        <v>-220081</v>
      </c>
      <c r="BU49" s="39">
        <v>-184501</v>
      </c>
      <c r="BV49" s="39">
        <v>-193827</v>
      </c>
      <c r="BW49" s="39">
        <v>-146065</v>
      </c>
      <c r="BX49" s="61">
        <f t="shared" si="96"/>
        <v>-146065</v>
      </c>
      <c r="BY49" s="39">
        <v>-178257</v>
      </c>
      <c r="BZ49" s="39">
        <v>-159407</v>
      </c>
      <c r="CA49" s="39">
        <v>-174753</v>
      </c>
      <c r="CB49" s="39">
        <v>-189951</v>
      </c>
      <c r="CC49" s="61">
        <f t="shared" si="97"/>
        <v>-189951</v>
      </c>
      <c r="CD49" s="39">
        <v>-229369</v>
      </c>
      <c r="CE49" s="39">
        <v>-134778</v>
      </c>
      <c r="CF49" s="39">
        <v>-206560</v>
      </c>
      <c r="CG49" s="39">
        <v>-204524</v>
      </c>
      <c r="CH49" s="61">
        <f t="shared" si="98"/>
        <v>-204524</v>
      </c>
      <c r="CI49" s="39">
        <v>-204132</v>
      </c>
      <c r="CJ49" s="39">
        <v>-219277</v>
      </c>
      <c r="CK49" s="39">
        <v>-250815</v>
      </c>
      <c r="CL49" s="39">
        <v>-212530</v>
      </c>
      <c r="CM49" s="61">
        <f t="shared" si="99"/>
        <v>-212530</v>
      </c>
      <c r="CN49" s="39">
        <v>-230258</v>
      </c>
      <c r="CO49" s="39">
        <v>-226852</v>
      </c>
      <c r="CP49" s="39"/>
      <c r="CQ49" s="39"/>
      <c r="CR49" s="61">
        <f t="shared" si="100"/>
        <v>0</v>
      </c>
    </row>
    <row r="50" spans="1:96" ht="11.15" customHeight="1" x14ac:dyDescent="0.2">
      <c r="A50" s="21" t="s">
        <v>195</v>
      </c>
      <c r="B50" s="25"/>
      <c r="C50" s="25">
        <f>SUM(C43:C49)</f>
        <v>60572</v>
      </c>
      <c r="D50" s="25">
        <f>SUM(D43:D49)</f>
        <v>66491</v>
      </c>
      <c r="E50" s="25">
        <f>SUM(E43:E49)</f>
        <v>158594</v>
      </c>
      <c r="F50" s="74">
        <f>E50</f>
        <v>158594</v>
      </c>
      <c r="G50" s="25">
        <f>SUM(G43:G49)</f>
        <v>166023</v>
      </c>
      <c r="H50" s="25">
        <f>SUM(H43:H49)</f>
        <v>173925</v>
      </c>
      <c r="I50" s="25">
        <f>SUM(I43:I49)</f>
        <v>187536</v>
      </c>
      <c r="J50" s="25">
        <f>SUM(J43:J49)</f>
        <v>200180</v>
      </c>
      <c r="K50" s="74">
        <f>J50</f>
        <v>200180</v>
      </c>
      <c r="L50" s="25">
        <f>SUM(L43:L49)</f>
        <v>215401</v>
      </c>
      <c r="M50" s="25">
        <f>SUM(M43:M49)</f>
        <v>225482</v>
      </c>
      <c r="N50" s="25">
        <f>SUM(N43:N49)</f>
        <v>228419</v>
      </c>
      <c r="O50" s="25">
        <f>SUM(O43:O49)</f>
        <v>238172</v>
      </c>
      <c r="P50" s="74">
        <f>O50</f>
        <v>238172</v>
      </c>
      <c r="Q50" s="25">
        <f>SUM(Q43:Q49)</f>
        <v>237528</v>
      </c>
      <c r="R50" s="25">
        <f>SUM(R43:R49)</f>
        <v>244129</v>
      </c>
      <c r="S50" s="25">
        <f>SUM(S43:S49)</f>
        <v>253097</v>
      </c>
      <c r="T50" s="25">
        <f>SUM(T43:T49)</f>
        <v>256430</v>
      </c>
      <c r="U50" s="74">
        <f>T50</f>
        <v>256430</v>
      </c>
      <c r="V50" s="25">
        <f>SUM(V43:V49)</f>
        <v>252284</v>
      </c>
      <c r="W50" s="25">
        <f>SUM(W43:W49)</f>
        <v>252116</v>
      </c>
      <c r="X50" s="25">
        <f>SUM(X43:X49)</f>
        <v>285156</v>
      </c>
      <c r="Y50" s="25">
        <f>SUM(Y43:Y49)</f>
        <v>316600</v>
      </c>
      <c r="Z50" s="74">
        <f>Y50</f>
        <v>316600</v>
      </c>
      <c r="AA50" s="25">
        <f>SUM(AA43:AA49)</f>
        <v>360239</v>
      </c>
      <c r="AB50" s="25">
        <f>SUM(AB43:AB49)</f>
        <v>402159</v>
      </c>
      <c r="AC50" s="25">
        <f>SUM(AC43:AC49)</f>
        <v>418727</v>
      </c>
      <c r="AD50" s="25">
        <f>SUM(AD43:AD49)</f>
        <v>443323</v>
      </c>
      <c r="AE50" s="74">
        <f>AD50</f>
        <v>443323</v>
      </c>
      <c r="AF50" s="25">
        <f>SUM(AF43:AF49)</f>
        <v>658366</v>
      </c>
      <c r="AG50" s="25">
        <f>SUM(AG43:AG49)</f>
        <v>669731</v>
      </c>
      <c r="AH50" s="25">
        <f>SUM(AH43:AH49)</f>
        <v>729572</v>
      </c>
      <c r="AI50" s="25">
        <f>SUM(AI43:AI49)</f>
        <v>742927</v>
      </c>
      <c r="AJ50" s="74">
        <f>AI50</f>
        <v>742927</v>
      </c>
      <c r="AK50" s="25">
        <f>SUM(AK43:AK49)</f>
        <v>773225</v>
      </c>
      <c r="AL50" s="25">
        <f>SUM(AL43:AL49)</f>
        <v>815967</v>
      </c>
      <c r="AM50" s="25">
        <f>SUM(AM43:AM49)</f>
        <v>875687</v>
      </c>
      <c r="AN50" s="25">
        <f>SUM(AN43:AN49)</f>
        <v>927969</v>
      </c>
      <c r="AO50" s="74">
        <f>AN50</f>
        <v>927969</v>
      </c>
      <c r="AP50" s="25">
        <f>SUM(AP43:AP49)</f>
        <v>961316</v>
      </c>
      <c r="AQ50" s="25">
        <f>SUM(AQ43:AQ49)</f>
        <v>1023860</v>
      </c>
      <c r="AR50" s="25">
        <f>SUM(AR43:AR49)</f>
        <v>1036703</v>
      </c>
      <c r="AS50" s="25">
        <f>SUM(AS43:AS49)</f>
        <v>1046561</v>
      </c>
      <c r="AT50" s="74">
        <f>AS50</f>
        <v>1046561</v>
      </c>
      <c r="AU50" s="25">
        <f>SUM(AU43:AU49)</f>
        <v>1078953</v>
      </c>
      <c r="AV50" s="25">
        <f>SUM(AV43:AV49)</f>
        <v>1162321</v>
      </c>
      <c r="AW50" s="25">
        <f>SUM(AW43:AW49)</f>
        <v>1214658</v>
      </c>
      <c r="AX50" s="25">
        <f>SUM(AX43:AX49)</f>
        <v>1259528</v>
      </c>
      <c r="AY50" s="74">
        <f>AX50</f>
        <v>1259528</v>
      </c>
      <c r="AZ50" s="25">
        <f>SUM(AZ43:AZ49)</f>
        <v>1345856</v>
      </c>
      <c r="BA50" s="25">
        <f>SUM(BA43:BA49)</f>
        <v>1422989</v>
      </c>
      <c r="BB50" s="25">
        <f>SUM(BB43:BB49)</f>
        <v>1502846</v>
      </c>
      <c r="BC50" s="25">
        <f>SUM(BC43:BC49)</f>
        <v>1557558</v>
      </c>
      <c r="BD50" s="74">
        <f>BC50</f>
        <v>1557558</v>
      </c>
      <c r="BE50" s="25">
        <f>SUM(BE43:BE49)</f>
        <v>1666095</v>
      </c>
      <c r="BF50" s="25">
        <f>SUM(BF43:BF49)</f>
        <v>1804357</v>
      </c>
      <c r="BG50" s="25">
        <f>SUM(BG43:BG49)</f>
        <v>1959099</v>
      </c>
      <c r="BH50" s="25">
        <f>SUM(BH43:BH49)</f>
        <v>2022322</v>
      </c>
      <c r="BI50" s="74">
        <f>BH50</f>
        <v>2022322</v>
      </c>
      <c r="BJ50" s="25">
        <f>SUM(BJ43:BJ49)</f>
        <v>2145369</v>
      </c>
      <c r="BK50" s="25">
        <f>SUM(BK43:BK49)</f>
        <v>2172157</v>
      </c>
      <c r="BL50" s="25">
        <f>SUM(BL43:BL49)</f>
        <v>2205963</v>
      </c>
      <c r="BM50" s="25">
        <f>SUM(BM43:BM49)</f>
        <v>2205548</v>
      </c>
      <c r="BN50" s="74">
        <f>BM50</f>
        <v>2205548</v>
      </c>
      <c r="BO50" s="25">
        <f>SUM(BO43:BO49)</f>
        <v>2267841</v>
      </c>
      <c r="BP50" s="25">
        <f>SUM(BP43:BP49)</f>
        <v>2366647</v>
      </c>
      <c r="BQ50" s="25">
        <f>SUM(BQ43:BQ49)</f>
        <v>2380111</v>
      </c>
      <c r="BR50" s="25">
        <f>SUM(BR43:BR49)</f>
        <v>2401726</v>
      </c>
      <c r="BS50" s="74">
        <f>BR50</f>
        <v>2401726</v>
      </c>
      <c r="BT50" s="25">
        <f>SUM(BT43:BT49)</f>
        <v>2355069</v>
      </c>
      <c r="BU50" s="25">
        <f>SUM(BU43:BU49)</f>
        <v>2436352</v>
      </c>
      <c r="BV50" s="25">
        <f>SUM(BV43:BV49)</f>
        <v>2470213</v>
      </c>
      <c r="BW50" s="25">
        <f>SUM(BW43:BW49)</f>
        <v>2592819</v>
      </c>
      <c r="BX50" s="74">
        <f>BW50</f>
        <v>2592819</v>
      </c>
      <c r="BY50" s="25">
        <f>SUM(BY43:BY49)</f>
        <v>2639502</v>
      </c>
      <c r="BZ50" s="25">
        <f>SUM(BZ43:BZ49)</f>
        <v>2704918</v>
      </c>
      <c r="CA50" s="25">
        <f>SUM(CA43:CA49)</f>
        <v>2739352</v>
      </c>
      <c r="CB50" s="25">
        <f>SUM(CB43:CB49)</f>
        <v>2746582</v>
      </c>
      <c r="CC50" s="74">
        <f>CB50</f>
        <v>2746582</v>
      </c>
      <c r="CD50" s="25">
        <f>SUM(CD43:CD49)</f>
        <v>2707249</v>
      </c>
      <c r="CE50" s="25">
        <f>SUM(CE43:CE49)</f>
        <v>2639216</v>
      </c>
      <c r="CF50" s="25">
        <f>SUM(CF43:CF49)</f>
        <v>2580509</v>
      </c>
      <c r="CG50" s="25">
        <f>SUM(CG43:CG49)</f>
        <v>2385360</v>
      </c>
      <c r="CH50" s="74">
        <f>CG50</f>
        <v>2385360</v>
      </c>
      <c r="CI50" s="25">
        <f>SUM(CI43:CI49)</f>
        <v>2338525</v>
      </c>
      <c r="CJ50" s="25">
        <f>SUM(CJ43:CJ49)</f>
        <v>2398550</v>
      </c>
      <c r="CK50" s="25">
        <f>SUM(CK43:CK49)</f>
        <v>2383951</v>
      </c>
      <c r="CL50" s="25">
        <f>SUM(CL43:CL49)</f>
        <v>2415385</v>
      </c>
      <c r="CM50" s="74">
        <f>CL50</f>
        <v>2415385</v>
      </c>
      <c r="CN50" s="25">
        <f>SUM(CN43:CN49)</f>
        <v>2340720</v>
      </c>
      <c r="CO50" s="25">
        <f>SUM(CO43:CO49)</f>
        <v>2253370</v>
      </c>
      <c r="CP50" s="25">
        <f>SUM(CP43:CP49)</f>
        <v>0</v>
      </c>
      <c r="CQ50" s="25">
        <f>SUM(CQ43:CQ49)</f>
        <v>0</v>
      </c>
      <c r="CR50" s="74">
        <f>CQ50</f>
        <v>0</v>
      </c>
    </row>
    <row r="51" spans="1:96" ht="11.15" customHeight="1" x14ac:dyDescent="0.2">
      <c r="A51" s="21"/>
      <c r="B51" s="11"/>
      <c r="C51" s="11"/>
      <c r="D51" s="11"/>
      <c r="E51" s="11"/>
      <c r="F51" s="61"/>
      <c r="G51" s="11"/>
      <c r="H51" s="11"/>
      <c r="I51" s="11"/>
      <c r="J51" s="11"/>
      <c r="K51" s="61"/>
      <c r="L51" s="11"/>
      <c r="M51" s="11"/>
      <c r="N51" s="11"/>
      <c r="O51" s="11"/>
      <c r="P51" s="61"/>
      <c r="Q51" s="11"/>
      <c r="R51" s="11"/>
      <c r="S51" s="11"/>
      <c r="T51" s="11"/>
      <c r="U51" s="61"/>
      <c r="V51" s="11"/>
      <c r="W51" s="11"/>
      <c r="X51" s="11"/>
      <c r="Y51" s="11"/>
      <c r="Z51" s="61"/>
      <c r="AA51" s="11"/>
      <c r="AB51" s="11"/>
      <c r="AC51" s="11"/>
      <c r="AD51" s="11"/>
      <c r="AE51" s="61"/>
      <c r="AF51" s="11"/>
      <c r="AG51" s="11"/>
      <c r="AH51" s="11"/>
      <c r="AI51" s="11"/>
      <c r="AJ51" s="61"/>
      <c r="AK51" s="11"/>
      <c r="AL51" s="11"/>
      <c r="AM51" s="11"/>
      <c r="AN51" s="11"/>
      <c r="AO51" s="61"/>
      <c r="AP51" s="11"/>
      <c r="AQ51" s="11"/>
      <c r="AR51" s="11"/>
      <c r="AS51" s="11"/>
      <c r="AT51" s="61"/>
      <c r="AU51" s="11"/>
      <c r="AV51" s="11"/>
      <c r="AW51" s="11"/>
      <c r="AX51" s="11"/>
      <c r="AY51" s="61"/>
      <c r="AZ51" s="11"/>
      <c r="BA51" s="11"/>
      <c r="BB51" s="11"/>
      <c r="BC51" s="11"/>
      <c r="BD51" s="61"/>
      <c r="BE51" s="11"/>
      <c r="BF51" s="11"/>
      <c r="BG51" s="11"/>
      <c r="BH51" s="11"/>
      <c r="BI51" s="61"/>
      <c r="BJ51" s="11"/>
      <c r="BK51" s="11"/>
      <c r="BL51" s="11"/>
      <c r="BM51" s="11"/>
      <c r="BN51" s="61"/>
      <c r="BO51" s="11"/>
      <c r="BP51" s="11"/>
      <c r="BQ51" s="11"/>
      <c r="BR51" s="11"/>
      <c r="BS51" s="61"/>
      <c r="BT51" s="11"/>
      <c r="BU51" s="11"/>
      <c r="BV51" s="11"/>
      <c r="BW51" s="11"/>
      <c r="BX51" s="61"/>
      <c r="BY51" s="11"/>
      <c r="BZ51" s="11"/>
      <c r="CA51" s="11"/>
      <c r="CB51" s="11"/>
      <c r="CC51" s="61"/>
      <c r="CD51" s="11"/>
      <c r="CE51" s="11"/>
      <c r="CF51" s="11"/>
      <c r="CG51" s="11"/>
      <c r="CH51" s="61"/>
      <c r="CI51" s="11"/>
      <c r="CJ51" s="11"/>
      <c r="CK51" s="11"/>
      <c r="CL51" s="11"/>
      <c r="CM51" s="61"/>
      <c r="CN51" s="11"/>
      <c r="CO51" s="11"/>
      <c r="CP51" s="11"/>
      <c r="CQ51" s="11"/>
      <c r="CR51" s="61"/>
    </row>
    <row r="52" spans="1:96" ht="11.15" customHeight="1" x14ac:dyDescent="0.2">
      <c r="A52" s="6" t="s">
        <v>189</v>
      </c>
      <c r="B52" s="11"/>
      <c r="C52" s="36">
        <v>1343</v>
      </c>
      <c r="D52" s="36">
        <v>1856</v>
      </c>
      <c r="E52" s="36">
        <v>2827</v>
      </c>
      <c r="F52" s="61">
        <f>E52</f>
        <v>2827</v>
      </c>
      <c r="G52" s="36">
        <v>3199</v>
      </c>
      <c r="H52" s="36">
        <v>3415</v>
      </c>
      <c r="I52" s="36">
        <v>4067</v>
      </c>
      <c r="J52" s="36">
        <v>4455</v>
      </c>
      <c r="K52" s="61">
        <f>J52</f>
        <v>4455</v>
      </c>
      <c r="L52" s="36">
        <v>4801</v>
      </c>
      <c r="M52" s="36">
        <v>5270</v>
      </c>
      <c r="N52" s="36">
        <v>4896</v>
      </c>
      <c r="O52" s="36">
        <v>5127</v>
      </c>
      <c r="P52" s="61">
        <f>O52</f>
        <v>5127</v>
      </c>
      <c r="Q52" s="36">
        <v>209</v>
      </c>
      <c r="R52" s="36">
        <v>95</v>
      </c>
      <c r="S52" s="36">
        <v>106</v>
      </c>
      <c r="T52" s="36">
        <v>141</v>
      </c>
      <c r="U52" s="61">
        <f>T52</f>
        <v>141</v>
      </c>
      <c r="V52" s="36">
        <v>168</v>
      </c>
      <c r="W52" s="36">
        <v>207</v>
      </c>
      <c r="X52" s="36">
        <v>296</v>
      </c>
      <c r="Y52" s="36">
        <v>203</v>
      </c>
      <c r="Z52" s="61">
        <f>Y52</f>
        <v>203</v>
      </c>
      <c r="AA52" s="36">
        <v>210</v>
      </c>
      <c r="AB52" s="36">
        <v>245</v>
      </c>
      <c r="AC52" s="36">
        <v>236</v>
      </c>
      <c r="AD52" s="36">
        <v>287</v>
      </c>
      <c r="AE52" s="61">
        <f>AD52</f>
        <v>287</v>
      </c>
      <c r="AF52" s="36">
        <v>0</v>
      </c>
      <c r="AG52" s="36"/>
      <c r="AH52" s="36">
        <v>0</v>
      </c>
      <c r="AI52" s="36">
        <v>0</v>
      </c>
      <c r="AJ52" s="61">
        <f>AI52</f>
        <v>0</v>
      </c>
      <c r="AK52" s="36">
        <v>0</v>
      </c>
      <c r="AL52" s="36">
        <v>0</v>
      </c>
      <c r="AM52" s="36">
        <v>0</v>
      </c>
      <c r="AN52" s="36">
        <v>0</v>
      </c>
      <c r="AO52" s="61">
        <f>AN52</f>
        <v>0</v>
      </c>
      <c r="AP52" s="36">
        <v>0</v>
      </c>
      <c r="AQ52" s="36">
        <v>0</v>
      </c>
      <c r="AR52" s="36">
        <v>0</v>
      </c>
      <c r="AS52" s="36">
        <v>0</v>
      </c>
      <c r="AT52" s="61">
        <f>AS52</f>
        <v>0</v>
      </c>
      <c r="AU52" s="36">
        <v>1566</v>
      </c>
      <c r="AV52" s="36">
        <v>1434</v>
      </c>
      <c r="AW52" s="36">
        <v>1228</v>
      </c>
      <c r="AX52" s="36">
        <v>1137</v>
      </c>
      <c r="AY52" s="61">
        <f>AX52</f>
        <v>1137</v>
      </c>
      <c r="AZ52" s="36">
        <v>1142</v>
      </c>
      <c r="BA52" s="36">
        <v>174</v>
      </c>
      <c r="BB52" s="36">
        <v>170</v>
      </c>
      <c r="BC52" s="36">
        <v>166</v>
      </c>
      <c r="BD52" s="61">
        <f>BC52</f>
        <v>166</v>
      </c>
      <c r="BE52" s="36">
        <v>177</v>
      </c>
      <c r="BF52" s="36">
        <v>0</v>
      </c>
      <c r="BG52" s="36">
        <v>0</v>
      </c>
      <c r="BH52" s="36">
        <v>0</v>
      </c>
      <c r="BI52" s="61">
        <f>BH52</f>
        <v>0</v>
      </c>
      <c r="BJ52" s="36">
        <v>0</v>
      </c>
      <c r="BK52" s="36">
        <v>0</v>
      </c>
      <c r="BL52" s="36">
        <v>845</v>
      </c>
      <c r="BM52" s="36">
        <v>686</v>
      </c>
      <c r="BN52" s="61">
        <f>BM52</f>
        <v>686</v>
      </c>
      <c r="BO52" s="36">
        <v>447</v>
      </c>
      <c r="BP52" s="36">
        <v>714</v>
      </c>
      <c r="BQ52" s="36">
        <v>549</v>
      </c>
      <c r="BR52" s="36">
        <v>717</v>
      </c>
      <c r="BS52" s="61">
        <f>BR52</f>
        <v>717</v>
      </c>
      <c r="BT52" s="36">
        <v>861</v>
      </c>
      <c r="BU52" s="36">
        <v>954</v>
      </c>
      <c r="BV52" s="36">
        <v>861</v>
      </c>
      <c r="BW52" s="36">
        <v>1292</v>
      </c>
      <c r="BX52" s="61">
        <f>BW52</f>
        <v>1292</v>
      </c>
      <c r="BY52" s="36">
        <v>1168</v>
      </c>
      <c r="BZ52" s="36">
        <v>1362</v>
      </c>
      <c r="CA52" s="36">
        <v>493</v>
      </c>
      <c r="CB52" s="36">
        <v>639</v>
      </c>
      <c r="CC52" s="61">
        <f>CB52</f>
        <v>639</v>
      </c>
      <c r="CD52" s="36">
        <v>1000</v>
      </c>
      <c r="CE52" s="36">
        <v>1135</v>
      </c>
      <c r="CF52" s="36">
        <v>0</v>
      </c>
      <c r="CG52" s="36">
        <v>0</v>
      </c>
      <c r="CH52" s="61">
        <f>CG52</f>
        <v>0</v>
      </c>
      <c r="CI52" s="36">
        <v>0</v>
      </c>
      <c r="CJ52" s="36">
        <v>0</v>
      </c>
      <c r="CK52" s="36">
        <v>0</v>
      </c>
      <c r="CL52" s="36">
        <v>0</v>
      </c>
      <c r="CM52" s="61">
        <f>CL52</f>
        <v>0</v>
      </c>
      <c r="CN52" s="36">
        <v>0</v>
      </c>
      <c r="CO52" s="36">
        <v>0</v>
      </c>
      <c r="CP52" s="36">
        <v>0</v>
      </c>
      <c r="CQ52" s="36">
        <v>0</v>
      </c>
      <c r="CR52" s="61">
        <f>CQ52</f>
        <v>0</v>
      </c>
    </row>
    <row r="53" spans="1:96" ht="11.15" customHeight="1" x14ac:dyDescent="0.2">
      <c r="A53" s="21" t="s">
        <v>59</v>
      </c>
      <c r="B53" s="11"/>
      <c r="C53" s="11">
        <f>C50+C52</f>
        <v>61915</v>
      </c>
      <c r="D53" s="11">
        <f>D50+D52</f>
        <v>68347</v>
      </c>
      <c r="E53" s="11">
        <f>E50+E52</f>
        <v>161421</v>
      </c>
      <c r="F53" s="61">
        <f>E53</f>
        <v>161421</v>
      </c>
      <c r="G53" s="11">
        <f>G50+G52</f>
        <v>169222</v>
      </c>
      <c r="H53" s="11">
        <f>H50+H52</f>
        <v>177340</v>
      </c>
      <c r="I53" s="11">
        <f>I50+I52</f>
        <v>191603</v>
      </c>
      <c r="J53" s="11">
        <f>J50+J52</f>
        <v>204635</v>
      </c>
      <c r="K53" s="61">
        <f>J53</f>
        <v>204635</v>
      </c>
      <c r="L53" s="11">
        <f>L50+L52</f>
        <v>220202</v>
      </c>
      <c r="M53" s="11">
        <f>M50+M52</f>
        <v>230752</v>
      </c>
      <c r="N53" s="11">
        <f>N50+N52</f>
        <v>233315</v>
      </c>
      <c r="O53" s="11">
        <f>O50+O52</f>
        <v>243299</v>
      </c>
      <c r="P53" s="61">
        <f>O53</f>
        <v>243299</v>
      </c>
      <c r="Q53" s="11">
        <f>Q50+Q52</f>
        <v>237737</v>
      </c>
      <c r="R53" s="11">
        <f>R50+R52</f>
        <v>244224</v>
      </c>
      <c r="S53" s="11">
        <f>S50+S52</f>
        <v>253203</v>
      </c>
      <c r="T53" s="11">
        <f>T50+T52</f>
        <v>256571</v>
      </c>
      <c r="U53" s="61">
        <f>T53</f>
        <v>256571</v>
      </c>
      <c r="V53" s="11">
        <f>V50+V52</f>
        <v>252452</v>
      </c>
      <c r="W53" s="11">
        <f>W50+W52</f>
        <v>252323</v>
      </c>
      <c r="X53" s="11">
        <f>X50+X52</f>
        <v>285452</v>
      </c>
      <c r="Y53" s="11">
        <f>Y50+Y52</f>
        <v>316803</v>
      </c>
      <c r="Z53" s="61">
        <f>Y53</f>
        <v>316803</v>
      </c>
      <c r="AA53" s="11">
        <f>AA50+AA52</f>
        <v>360449</v>
      </c>
      <c r="AB53" s="11">
        <f>AB50+AB52</f>
        <v>402404</v>
      </c>
      <c r="AC53" s="11">
        <f>AC50+AC52</f>
        <v>418963</v>
      </c>
      <c r="AD53" s="11">
        <f>AD50+AD52</f>
        <v>443610</v>
      </c>
      <c r="AE53" s="61">
        <f>AD53</f>
        <v>443610</v>
      </c>
      <c r="AF53" s="11">
        <f>AF50+AF52</f>
        <v>658366</v>
      </c>
      <c r="AG53" s="11">
        <f>AG50+AG52</f>
        <v>669731</v>
      </c>
      <c r="AH53" s="11">
        <f>AH50+AH52</f>
        <v>729572</v>
      </c>
      <c r="AI53" s="11">
        <f>AI50+AI52</f>
        <v>742927</v>
      </c>
      <c r="AJ53" s="61">
        <f>AI53</f>
        <v>742927</v>
      </c>
      <c r="AK53" s="11">
        <f>AK50+AK52</f>
        <v>773225</v>
      </c>
      <c r="AL53" s="11">
        <f>AL50+AL52</f>
        <v>815967</v>
      </c>
      <c r="AM53" s="11">
        <f>AM50+AM52</f>
        <v>875687</v>
      </c>
      <c r="AN53" s="11">
        <f>AN50+AN52</f>
        <v>927969</v>
      </c>
      <c r="AO53" s="61">
        <f>AN53</f>
        <v>927969</v>
      </c>
      <c r="AP53" s="11">
        <f>AP50+AP52</f>
        <v>961316</v>
      </c>
      <c r="AQ53" s="11">
        <f>AQ50+AQ52</f>
        <v>1023860</v>
      </c>
      <c r="AR53" s="11">
        <f>AR50+AR52</f>
        <v>1036703</v>
      </c>
      <c r="AS53" s="11">
        <f>AS50+AS52</f>
        <v>1046561</v>
      </c>
      <c r="AT53" s="61">
        <f>AS53</f>
        <v>1046561</v>
      </c>
      <c r="AU53" s="11">
        <f>AU50+AU52</f>
        <v>1080519</v>
      </c>
      <c r="AV53" s="11">
        <f>AV50+AV52</f>
        <v>1163755</v>
      </c>
      <c r="AW53" s="11">
        <f>AW50+AW52</f>
        <v>1215886</v>
      </c>
      <c r="AX53" s="11">
        <f>AX50+AX52</f>
        <v>1260665</v>
      </c>
      <c r="AY53" s="61">
        <f>AX53</f>
        <v>1260665</v>
      </c>
      <c r="AZ53" s="11">
        <f>AZ50+AZ52</f>
        <v>1346998</v>
      </c>
      <c r="BA53" s="11">
        <f>BA50+BA52</f>
        <v>1423163</v>
      </c>
      <c r="BB53" s="11">
        <f>BB50+BB52</f>
        <v>1503016</v>
      </c>
      <c r="BC53" s="11">
        <f>BC50+BC52</f>
        <v>1557724</v>
      </c>
      <c r="BD53" s="61">
        <f>BC53</f>
        <v>1557724</v>
      </c>
      <c r="BE53" s="11">
        <f>BE50+BE52</f>
        <v>1666272</v>
      </c>
      <c r="BF53" s="11">
        <f>BF50+BF52</f>
        <v>1804357</v>
      </c>
      <c r="BG53" s="11">
        <f>BG50+BG52</f>
        <v>1959099</v>
      </c>
      <c r="BH53" s="11">
        <f>BH50+BH52</f>
        <v>2022322</v>
      </c>
      <c r="BI53" s="61">
        <f>BH53</f>
        <v>2022322</v>
      </c>
      <c r="BJ53" s="11">
        <f>BJ50+BJ52</f>
        <v>2145369</v>
      </c>
      <c r="BK53" s="11">
        <f>BK50+BK52</f>
        <v>2172157</v>
      </c>
      <c r="BL53" s="11">
        <f>BL50+BL52</f>
        <v>2206808</v>
      </c>
      <c r="BM53" s="11">
        <f>BM50+BM52</f>
        <v>2206234</v>
      </c>
      <c r="BN53" s="61">
        <f>BM53</f>
        <v>2206234</v>
      </c>
      <c r="BO53" s="11">
        <f>BO50+BO52</f>
        <v>2268288</v>
      </c>
      <c r="BP53" s="11">
        <f>BP50+BP52</f>
        <v>2367361</v>
      </c>
      <c r="BQ53" s="11">
        <f>BQ50+BQ52</f>
        <v>2380660</v>
      </c>
      <c r="BR53" s="11">
        <f>BR50+BR52</f>
        <v>2402443</v>
      </c>
      <c r="BS53" s="61">
        <f>BR53</f>
        <v>2402443</v>
      </c>
      <c r="BT53" s="11">
        <f>BT50+BT52</f>
        <v>2355930</v>
      </c>
      <c r="BU53" s="11">
        <f>BU50+BU52</f>
        <v>2437306</v>
      </c>
      <c r="BV53" s="11">
        <f>BV50+BV52</f>
        <v>2471074</v>
      </c>
      <c r="BW53" s="11">
        <f>BW50+BW52</f>
        <v>2594111</v>
      </c>
      <c r="BX53" s="61">
        <f>BW53</f>
        <v>2594111</v>
      </c>
      <c r="BY53" s="11">
        <f>BY50+BY52</f>
        <v>2640670</v>
      </c>
      <c r="BZ53" s="11">
        <f>BZ50+BZ52</f>
        <v>2706280</v>
      </c>
      <c r="CA53" s="11">
        <f>CA50+CA52</f>
        <v>2739845</v>
      </c>
      <c r="CB53" s="11">
        <f>CB50+CB52</f>
        <v>2747221</v>
      </c>
      <c r="CC53" s="61">
        <f>CB53</f>
        <v>2747221</v>
      </c>
      <c r="CD53" s="11">
        <f>CD50+CD52</f>
        <v>2708249</v>
      </c>
      <c r="CE53" s="11">
        <f>CE50+CE52</f>
        <v>2640351</v>
      </c>
      <c r="CF53" s="11">
        <f>CF50+CF52</f>
        <v>2580509</v>
      </c>
      <c r="CG53" s="11">
        <f>CG50+CG52</f>
        <v>2385360</v>
      </c>
      <c r="CH53" s="61">
        <f>CG53</f>
        <v>2385360</v>
      </c>
      <c r="CI53" s="11">
        <f>CI50+CI52</f>
        <v>2338525</v>
      </c>
      <c r="CJ53" s="11">
        <f>CJ50+CJ52</f>
        <v>2398550</v>
      </c>
      <c r="CK53" s="11">
        <f>CK50+CK52</f>
        <v>2383951</v>
      </c>
      <c r="CL53" s="11">
        <f>CL50+CL52</f>
        <v>2415385</v>
      </c>
      <c r="CM53" s="61">
        <f>CL53</f>
        <v>2415385</v>
      </c>
      <c r="CN53" s="11">
        <v>2340720</v>
      </c>
      <c r="CO53" s="11">
        <f>CO50+CO52</f>
        <v>2253370</v>
      </c>
      <c r="CP53" s="11">
        <f>CP50+CP52</f>
        <v>0</v>
      </c>
      <c r="CQ53" s="11">
        <f>CQ50+CQ52</f>
        <v>0</v>
      </c>
      <c r="CR53" s="61">
        <f>CQ53</f>
        <v>0</v>
      </c>
    </row>
    <row r="54" spans="1:96" ht="11.15" customHeight="1" thickBot="1" x14ac:dyDescent="0.25">
      <c r="A54" s="6" t="s">
        <v>190</v>
      </c>
      <c r="B54" s="14"/>
      <c r="C54" s="14">
        <f>C39+C41+C53</f>
        <v>133728</v>
      </c>
      <c r="D54" s="14">
        <f>D39+D41+D53</f>
        <v>141401</v>
      </c>
      <c r="E54" s="14">
        <f>E39+E41+E53</f>
        <v>232492</v>
      </c>
      <c r="F54" s="62">
        <f>E54</f>
        <v>232492</v>
      </c>
      <c r="G54" s="14">
        <f>G39+G41+G53</f>
        <v>220424</v>
      </c>
      <c r="H54" s="14">
        <f>H39+H41+H53</f>
        <v>240125</v>
      </c>
      <c r="I54" s="14">
        <f>I39+I41+I53</f>
        <v>258212</v>
      </c>
      <c r="J54" s="14">
        <f>J39+J41+J53</f>
        <v>263321</v>
      </c>
      <c r="K54" s="62">
        <f>J54</f>
        <v>263321</v>
      </c>
      <c r="L54" s="14">
        <f>L39+L41+L53</f>
        <v>287755</v>
      </c>
      <c r="M54" s="14">
        <f>M39+M41+M53</f>
        <v>303031</v>
      </c>
      <c r="N54" s="14">
        <f>N39+N41+N53</f>
        <v>303917</v>
      </c>
      <c r="O54" s="14">
        <f>O39+O41+O53</f>
        <v>313218</v>
      </c>
      <c r="P54" s="62">
        <f>O54</f>
        <v>313218</v>
      </c>
      <c r="Q54" s="14">
        <f>Q39+Q41+Q53</f>
        <v>313805</v>
      </c>
      <c r="R54" s="14">
        <f>R39+R41+R53</f>
        <v>323101</v>
      </c>
      <c r="S54" s="14">
        <f>S39+S41+S53</f>
        <v>318939</v>
      </c>
      <c r="T54" s="14">
        <f>T39+T41+T53</f>
        <v>312636</v>
      </c>
      <c r="U54" s="62">
        <f>T54</f>
        <v>312636</v>
      </c>
      <c r="V54" s="14">
        <f>V39+V41+V53</f>
        <v>315207</v>
      </c>
      <c r="W54" s="14">
        <f>W39+W41+W53</f>
        <v>333724</v>
      </c>
      <c r="X54" s="14">
        <f>X39+X41+X53</f>
        <v>373976</v>
      </c>
      <c r="Y54" s="14">
        <f>Y39+Y41+Y53</f>
        <v>441855</v>
      </c>
      <c r="Z54" s="62">
        <f>Y54</f>
        <v>441855</v>
      </c>
      <c r="AA54" s="14">
        <f>AA39+AA41+AA53</f>
        <v>489567</v>
      </c>
      <c r="AB54" s="14">
        <f>AB39+AB41+AB53</f>
        <v>561381</v>
      </c>
      <c r="AC54" s="14">
        <f>AC39+AC41+AC53</f>
        <v>596324</v>
      </c>
      <c r="AD54" s="14">
        <f>AD39+AD41+AD53</f>
        <v>608132</v>
      </c>
      <c r="AE54" s="62">
        <f>AD54</f>
        <v>608132</v>
      </c>
      <c r="AF54" s="14">
        <f>AF39+AF41+AF53</f>
        <v>834905</v>
      </c>
      <c r="AG54" s="14">
        <f>AG39+AG41+AG53</f>
        <v>798014</v>
      </c>
      <c r="AH54" s="14">
        <f>AH39+AH41+AH53</f>
        <v>878385</v>
      </c>
      <c r="AI54" s="14">
        <f>AI39+AI41+AI53</f>
        <v>895498</v>
      </c>
      <c r="AJ54" s="62">
        <f>AI54</f>
        <v>895498</v>
      </c>
      <c r="AK54" s="14">
        <f>AK39+AK41+AK53</f>
        <v>892258</v>
      </c>
      <c r="AL54" s="14">
        <f>AL39+AL41+AL53</f>
        <v>939255</v>
      </c>
      <c r="AM54" s="14">
        <f>AM39+AM41+AM53</f>
        <v>1009796</v>
      </c>
      <c r="AN54" s="14">
        <f>AN39+AN41+AN53</f>
        <v>1061216</v>
      </c>
      <c r="AO54" s="62">
        <f>AN54</f>
        <v>1061216</v>
      </c>
      <c r="AP54" s="14">
        <f>AP39+AP41+AP53</f>
        <v>1097013</v>
      </c>
      <c r="AQ54" s="14">
        <f>AQ39+AQ41+AQ53</f>
        <v>1158386</v>
      </c>
      <c r="AR54" s="14">
        <f>AR39+AR41+AR53</f>
        <v>1185388</v>
      </c>
      <c r="AS54" s="14">
        <f>AS39+AS41+AS53</f>
        <v>1210887</v>
      </c>
      <c r="AT54" s="62">
        <f>AS54</f>
        <v>1210887</v>
      </c>
      <c r="AU54" s="14">
        <f>AU39+AU41+AU53</f>
        <v>1249260</v>
      </c>
      <c r="AV54" s="14">
        <f>AV39+AV41+AV53</f>
        <v>1334541</v>
      </c>
      <c r="AW54" s="14">
        <f>AW39+AW41+AW53</f>
        <v>1408206</v>
      </c>
      <c r="AX54" s="14">
        <f>AX39+AX41+AX53</f>
        <v>1453429</v>
      </c>
      <c r="AY54" s="62">
        <f>AX54</f>
        <v>1453429</v>
      </c>
      <c r="AZ54" s="14">
        <f>AZ39+AZ41+AZ53</f>
        <v>1550100</v>
      </c>
      <c r="BA54" s="14">
        <f>BA39+BA41+BA53</f>
        <v>1629307</v>
      </c>
      <c r="BB54" s="14">
        <f>BB39+BB41+BB53</f>
        <v>1727298</v>
      </c>
      <c r="BC54" s="14">
        <f>BC39+BC41+BC53</f>
        <v>1789999</v>
      </c>
      <c r="BD54" s="62">
        <f>BC54</f>
        <v>1789999</v>
      </c>
      <c r="BE54" s="14">
        <f>BE39+BE41+BE53</f>
        <v>1902573</v>
      </c>
      <c r="BF54" s="14">
        <f>BF39+BF41+BF53</f>
        <v>2030542</v>
      </c>
      <c r="BG54" s="14">
        <f>BG39+BG41+BG53</f>
        <v>2246065</v>
      </c>
      <c r="BH54" s="14">
        <f>BH39+BH41+BH53</f>
        <v>2367255</v>
      </c>
      <c r="BI54" s="62">
        <f>BH54</f>
        <v>2367255</v>
      </c>
      <c r="BJ54" s="14">
        <f>BJ39+BJ41+BJ53</f>
        <v>2498007</v>
      </c>
      <c r="BK54" s="14">
        <f>BK39+BK41+BK53</f>
        <v>2530478</v>
      </c>
      <c r="BL54" s="14">
        <f>BL39+BL41+BL53</f>
        <v>2562099</v>
      </c>
      <c r="BM54" s="14">
        <f>BM39+BM41+BM53</f>
        <v>2574450</v>
      </c>
      <c r="BN54" s="62">
        <f>BM54</f>
        <v>2574450</v>
      </c>
      <c r="BO54" s="14">
        <f>BO39+BO41+BO53</f>
        <v>2628736</v>
      </c>
      <c r="BP54" s="14">
        <f>BP39+BP41+BP53</f>
        <v>2737416</v>
      </c>
      <c r="BQ54" s="14">
        <f>BQ39+BQ41+BQ53</f>
        <v>2730904</v>
      </c>
      <c r="BR54" s="14">
        <f>BR39+BR41+BR53</f>
        <v>2730436</v>
      </c>
      <c r="BS54" s="62">
        <f>BR54</f>
        <v>2730436</v>
      </c>
      <c r="BT54" s="14">
        <f>BT39+BT41+BT53</f>
        <v>2680134</v>
      </c>
      <c r="BU54" s="14">
        <f>BU39+BU41+BU53</f>
        <v>2758736</v>
      </c>
      <c r="BV54" s="14">
        <f>BV39+BV41+BV53</f>
        <v>2794932</v>
      </c>
      <c r="BW54" s="14">
        <f>BW39+BW41+BW53</f>
        <v>2935700</v>
      </c>
      <c r="BX54" s="62">
        <f>BW54</f>
        <v>2935700</v>
      </c>
      <c r="BY54" s="14">
        <f>BY39+BY41+BY53</f>
        <v>2982951</v>
      </c>
      <c r="BZ54" s="14">
        <f>BZ39+BZ41+BZ53</f>
        <v>3086512</v>
      </c>
      <c r="CA54" s="14">
        <f>CA39+CA41+CA53</f>
        <v>3143910</v>
      </c>
      <c r="CB54" s="14">
        <f>CB39+CB41+CB53</f>
        <v>3170540</v>
      </c>
      <c r="CC54" s="62">
        <f>CB54</f>
        <v>3170540</v>
      </c>
      <c r="CD54" s="14">
        <f>CD39+CD41+CD53</f>
        <v>3098469</v>
      </c>
      <c r="CE54" s="14">
        <f>CE39+CE41+CE53</f>
        <v>3048769</v>
      </c>
      <c r="CF54" s="14">
        <f>CF39+CF41+CF53</f>
        <v>2962520</v>
      </c>
      <c r="CG54" s="14">
        <f>CG39+CG41+CG53</f>
        <v>2743280</v>
      </c>
      <c r="CH54" s="62">
        <f>CG54</f>
        <v>2743280</v>
      </c>
      <c r="CI54" s="14">
        <f>CI39+CI41+CI53</f>
        <v>2671156</v>
      </c>
      <c r="CJ54" s="14">
        <f>CJ39+CJ41+CJ53</f>
        <v>2696417</v>
      </c>
      <c r="CK54" s="14">
        <f>CK39+CK41+CK53</f>
        <v>2672864</v>
      </c>
      <c r="CL54" s="14">
        <f>CL39+CL41+CL53</f>
        <v>2698898</v>
      </c>
      <c r="CM54" s="62">
        <f>CL54</f>
        <v>2698898</v>
      </c>
      <c r="CN54" s="14">
        <f>CN39+CN41+CN53</f>
        <v>2598436</v>
      </c>
      <c r="CO54" s="14">
        <f>CO39+CO41+CO53</f>
        <v>2495431</v>
      </c>
      <c r="CP54" s="14">
        <f>CP39+CP41+CP53</f>
        <v>0</v>
      </c>
      <c r="CQ54" s="14">
        <f>CQ39+CQ41+CQ53</f>
        <v>0</v>
      </c>
      <c r="CR54" s="62">
        <f>CQ54</f>
        <v>0</v>
      </c>
    </row>
    <row r="55" spans="1:96" ht="11.15" customHeight="1" thickTop="1" x14ac:dyDescent="0.2">
      <c r="A55" s="21"/>
      <c r="B55" s="11"/>
      <c r="C55" s="11">
        <f t="shared" ref="C55:AH55" si="101">C23-C54</f>
        <v>0</v>
      </c>
      <c r="D55" s="11">
        <f t="shared" si="101"/>
        <v>0</v>
      </c>
      <c r="E55" s="11">
        <f t="shared" si="101"/>
        <v>0</v>
      </c>
      <c r="F55" s="61">
        <f t="shared" si="101"/>
        <v>0</v>
      </c>
      <c r="G55" s="11">
        <f t="shared" si="101"/>
        <v>0</v>
      </c>
      <c r="H55" s="11">
        <f t="shared" si="101"/>
        <v>0</v>
      </c>
      <c r="I55" s="11">
        <f t="shared" si="101"/>
        <v>0</v>
      </c>
      <c r="J55" s="11">
        <f t="shared" si="101"/>
        <v>0</v>
      </c>
      <c r="K55" s="61">
        <f t="shared" si="101"/>
        <v>0</v>
      </c>
      <c r="L55" s="11">
        <f t="shared" si="101"/>
        <v>0</v>
      </c>
      <c r="M55" s="11">
        <f t="shared" si="101"/>
        <v>0</v>
      </c>
      <c r="N55" s="11">
        <f t="shared" si="101"/>
        <v>0</v>
      </c>
      <c r="O55" s="11">
        <f t="shared" si="101"/>
        <v>0</v>
      </c>
      <c r="P55" s="61">
        <f t="shared" si="101"/>
        <v>0</v>
      </c>
      <c r="Q55" s="11">
        <f t="shared" si="101"/>
        <v>0</v>
      </c>
      <c r="R55" s="11">
        <f t="shared" si="101"/>
        <v>0</v>
      </c>
      <c r="S55" s="11">
        <f t="shared" si="101"/>
        <v>0</v>
      </c>
      <c r="T55" s="11">
        <f t="shared" si="101"/>
        <v>0</v>
      </c>
      <c r="U55" s="61">
        <f t="shared" si="101"/>
        <v>0</v>
      </c>
      <c r="V55" s="11">
        <f t="shared" si="101"/>
        <v>0</v>
      </c>
      <c r="W55" s="11">
        <f t="shared" si="101"/>
        <v>0</v>
      </c>
      <c r="X55" s="11">
        <f t="shared" si="101"/>
        <v>0</v>
      </c>
      <c r="Y55" s="11">
        <f t="shared" si="101"/>
        <v>0</v>
      </c>
      <c r="Z55" s="61">
        <f t="shared" si="101"/>
        <v>0</v>
      </c>
      <c r="AA55" s="11">
        <f t="shared" si="101"/>
        <v>0</v>
      </c>
      <c r="AB55" s="11">
        <f t="shared" si="101"/>
        <v>0</v>
      </c>
      <c r="AC55" s="11">
        <f t="shared" si="101"/>
        <v>0</v>
      </c>
      <c r="AD55" s="11">
        <f t="shared" si="101"/>
        <v>0</v>
      </c>
      <c r="AE55" s="61">
        <f t="shared" si="101"/>
        <v>0</v>
      </c>
      <c r="AF55" s="11">
        <f t="shared" si="101"/>
        <v>0</v>
      </c>
      <c r="AG55" s="11">
        <f t="shared" si="101"/>
        <v>0</v>
      </c>
      <c r="AH55" s="11">
        <f t="shared" si="101"/>
        <v>0</v>
      </c>
      <c r="AI55" s="11">
        <f t="shared" ref="AI55:BG55" si="102">AI23-AI54</f>
        <v>0</v>
      </c>
      <c r="AJ55" s="61">
        <f t="shared" si="102"/>
        <v>0</v>
      </c>
      <c r="AK55" s="11">
        <f t="shared" si="102"/>
        <v>0</v>
      </c>
      <c r="AL55" s="11">
        <f t="shared" si="102"/>
        <v>0</v>
      </c>
      <c r="AM55" s="11">
        <f t="shared" si="102"/>
        <v>0</v>
      </c>
      <c r="AN55" s="11">
        <f t="shared" si="102"/>
        <v>0</v>
      </c>
      <c r="AO55" s="61">
        <f t="shared" si="102"/>
        <v>0</v>
      </c>
      <c r="AP55" s="11">
        <f t="shared" si="102"/>
        <v>0</v>
      </c>
      <c r="AQ55" s="11">
        <f t="shared" si="102"/>
        <v>0</v>
      </c>
      <c r="AR55" s="11">
        <f t="shared" si="102"/>
        <v>0</v>
      </c>
      <c r="AS55" s="11">
        <f t="shared" si="102"/>
        <v>0</v>
      </c>
      <c r="AT55" s="61">
        <f t="shared" si="102"/>
        <v>0</v>
      </c>
      <c r="AU55" s="11">
        <f t="shared" si="102"/>
        <v>0</v>
      </c>
      <c r="AV55" s="11">
        <f t="shared" si="102"/>
        <v>0</v>
      </c>
      <c r="AW55" s="11">
        <f t="shared" si="102"/>
        <v>0</v>
      </c>
      <c r="AX55" s="11">
        <f t="shared" si="102"/>
        <v>0</v>
      </c>
      <c r="AY55" s="61">
        <f t="shared" si="102"/>
        <v>0</v>
      </c>
      <c r="AZ55" s="11">
        <f t="shared" si="102"/>
        <v>0</v>
      </c>
      <c r="BA55" s="11">
        <f t="shared" si="102"/>
        <v>0</v>
      </c>
      <c r="BB55" s="11">
        <f t="shared" si="102"/>
        <v>0</v>
      </c>
      <c r="BC55" s="11">
        <f t="shared" si="102"/>
        <v>0</v>
      </c>
      <c r="BD55" s="61">
        <f t="shared" si="102"/>
        <v>0</v>
      </c>
      <c r="BE55" s="11">
        <f t="shared" si="102"/>
        <v>0</v>
      </c>
      <c r="BF55" s="11">
        <f t="shared" si="102"/>
        <v>0</v>
      </c>
      <c r="BG55" s="11">
        <f t="shared" si="102"/>
        <v>0</v>
      </c>
      <c r="BH55" s="11">
        <f t="shared" ref="BH55:BK55" si="103">BH23-BH54</f>
        <v>0</v>
      </c>
      <c r="BI55" s="61">
        <f t="shared" si="103"/>
        <v>0</v>
      </c>
      <c r="BJ55" s="11">
        <f t="shared" si="103"/>
        <v>0</v>
      </c>
      <c r="BK55" s="11">
        <f t="shared" si="103"/>
        <v>0</v>
      </c>
      <c r="BL55" s="11">
        <f>BL23-BL54</f>
        <v>0</v>
      </c>
      <c r="BM55" s="11">
        <f>BM23-BM54</f>
        <v>0</v>
      </c>
      <c r="BN55" s="61">
        <f t="shared" ref="BN55:BP55" si="104">BN23-BN54</f>
        <v>0</v>
      </c>
      <c r="BO55" s="11">
        <f t="shared" si="104"/>
        <v>0</v>
      </c>
      <c r="BP55" s="11">
        <f t="shared" si="104"/>
        <v>0</v>
      </c>
      <c r="BQ55" s="11">
        <f t="shared" ref="BQ55" si="105">BQ23-BQ54</f>
        <v>0</v>
      </c>
      <c r="BR55" s="11">
        <f>BR23-BR54</f>
        <v>0</v>
      </c>
      <c r="BS55" s="61">
        <f t="shared" ref="BS55:BU55" si="106">BS23-BS54</f>
        <v>0</v>
      </c>
      <c r="BT55" s="11">
        <f t="shared" si="106"/>
        <v>0</v>
      </c>
      <c r="BU55" s="11">
        <f t="shared" si="106"/>
        <v>0</v>
      </c>
      <c r="BV55" s="11"/>
      <c r="BW55" s="11"/>
      <c r="BX55" s="61">
        <f t="shared" ref="BX55:BZ55" si="107">BX23-BX54</f>
        <v>0</v>
      </c>
      <c r="BY55" s="11">
        <f t="shared" si="107"/>
        <v>0</v>
      </c>
      <c r="BZ55" s="11">
        <f t="shared" si="107"/>
        <v>0</v>
      </c>
      <c r="CA55" s="11">
        <f t="shared" ref="CA55:CB55" si="108">CA23-CA54</f>
        <v>0</v>
      </c>
      <c r="CB55" s="11">
        <f t="shared" si="108"/>
        <v>0</v>
      </c>
      <c r="CC55" s="61">
        <f t="shared" ref="CC55:CD55" si="109">CC23-CC54</f>
        <v>0</v>
      </c>
      <c r="CD55" s="11">
        <f t="shared" si="109"/>
        <v>0</v>
      </c>
      <c r="CE55" s="11">
        <f>CE23-CE54</f>
        <v>0</v>
      </c>
      <c r="CF55" s="11">
        <f>CF23-CF54</f>
        <v>0</v>
      </c>
      <c r="CG55" s="11">
        <f>CG23-CG54</f>
        <v>0</v>
      </c>
      <c r="CH55" s="61">
        <f t="shared" ref="CH55" si="110">CH23-CH54</f>
        <v>0</v>
      </c>
      <c r="CI55" s="11">
        <f>CI23-CI54</f>
        <v>0</v>
      </c>
      <c r="CJ55" s="11">
        <f>CJ23-CJ54</f>
        <v>0</v>
      </c>
      <c r="CK55" s="11">
        <f>CK23-CK54</f>
        <v>0</v>
      </c>
      <c r="CL55" s="11">
        <f>CL23-CL54</f>
        <v>0</v>
      </c>
      <c r="CM55" s="61">
        <f t="shared" ref="CM55" si="111">CM23-CM54</f>
        <v>0</v>
      </c>
      <c r="CN55" s="11">
        <f>CN23-CN54</f>
        <v>0</v>
      </c>
      <c r="CO55" s="11">
        <f>CO23-CO54</f>
        <v>0</v>
      </c>
      <c r="CP55" s="11">
        <f>CP23-CP54</f>
        <v>0</v>
      </c>
      <c r="CQ55" s="11">
        <f>CQ23-CQ54</f>
        <v>0</v>
      </c>
      <c r="CR55" s="61">
        <f t="shared" ref="CR55" si="112">CR23-CR54</f>
        <v>0</v>
      </c>
    </row>
    <row r="56" spans="1:96" ht="11.15" customHeight="1" x14ac:dyDescent="0.2">
      <c r="A56" s="21"/>
      <c r="B56" s="11"/>
      <c r="C56" s="11"/>
      <c r="D56" s="11"/>
      <c r="E56" s="11"/>
      <c r="F56" s="61"/>
      <c r="G56" s="11"/>
      <c r="H56" s="11"/>
      <c r="I56" s="11"/>
      <c r="J56" s="11"/>
      <c r="K56" s="61"/>
      <c r="L56" s="11"/>
      <c r="M56" s="11"/>
      <c r="N56" s="11"/>
      <c r="O56" s="11"/>
      <c r="P56" s="61"/>
      <c r="Q56" s="11"/>
      <c r="R56" s="11"/>
      <c r="S56" s="11"/>
      <c r="T56" s="11"/>
      <c r="U56" s="61"/>
      <c r="V56" s="11"/>
      <c r="W56" s="11"/>
      <c r="X56" s="11"/>
      <c r="Y56" s="11"/>
      <c r="Z56" s="61"/>
      <c r="AA56" s="11"/>
      <c r="AB56" s="11"/>
      <c r="AC56" s="11"/>
      <c r="AD56" s="11"/>
      <c r="AE56" s="61"/>
      <c r="AF56" s="11"/>
      <c r="AG56" s="11"/>
      <c r="AH56" s="11"/>
      <c r="AI56" s="11"/>
      <c r="AJ56" s="61"/>
      <c r="AK56" s="11"/>
      <c r="AL56" s="11"/>
      <c r="AM56" s="11"/>
      <c r="AN56" s="11"/>
      <c r="AO56" s="61"/>
      <c r="AP56" s="11"/>
      <c r="AQ56" s="11"/>
      <c r="AR56" s="11"/>
      <c r="AS56" s="11"/>
      <c r="AT56" s="61"/>
      <c r="AU56" s="11"/>
      <c r="AV56" s="11"/>
      <c r="AW56" s="11"/>
      <c r="AX56" s="11"/>
      <c r="AY56" s="61"/>
      <c r="AZ56" s="11"/>
      <c r="BA56" s="11"/>
      <c r="BB56" s="11"/>
      <c r="BC56" s="11"/>
      <c r="BD56" s="61"/>
      <c r="BE56" s="11"/>
      <c r="BF56" s="11"/>
      <c r="BG56" s="11"/>
      <c r="BH56" s="11"/>
      <c r="BI56" s="61"/>
      <c r="BJ56" s="11"/>
      <c r="BK56" s="11"/>
      <c r="BL56" s="11"/>
      <c r="BM56" s="11"/>
      <c r="BN56" s="61"/>
      <c r="BO56" s="11"/>
      <c r="BP56" s="11"/>
      <c r="BQ56" s="11"/>
      <c r="BR56" s="11"/>
      <c r="BS56" s="61"/>
      <c r="BT56" s="11"/>
      <c r="BU56" s="11"/>
      <c r="BV56" s="11"/>
      <c r="BW56" s="11"/>
      <c r="BX56" s="61"/>
      <c r="BY56" s="11"/>
      <c r="BZ56" s="11"/>
      <c r="CA56" s="11"/>
      <c r="CB56" s="11"/>
      <c r="CC56" s="61"/>
      <c r="CD56" s="11"/>
      <c r="CE56" s="11"/>
      <c r="CF56" s="11"/>
      <c r="CG56" s="11"/>
      <c r="CH56" s="61"/>
      <c r="CI56" s="11"/>
      <c r="CJ56" s="11"/>
      <c r="CK56" s="11"/>
      <c r="CL56" s="11"/>
      <c r="CM56" s="61"/>
      <c r="CN56" s="11"/>
      <c r="CO56" s="11"/>
      <c r="CP56" s="11"/>
      <c r="CQ56" s="11"/>
      <c r="CR56" s="61"/>
    </row>
    <row r="57" spans="1:96" ht="11.15" customHeight="1" x14ac:dyDescent="0.2">
      <c r="A57" s="6" t="s">
        <v>91</v>
      </c>
      <c r="B57" s="11"/>
      <c r="C57" s="11"/>
      <c r="D57" s="11"/>
      <c r="E57" s="11"/>
      <c r="F57" s="61"/>
      <c r="G57" s="11"/>
      <c r="H57" s="11"/>
      <c r="I57" s="11"/>
      <c r="J57" s="11"/>
      <c r="K57" s="61"/>
      <c r="L57" s="11"/>
      <c r="M57" s="11"/>
      <c r="N57" s="11"/>
      <c r="O57" s="11"/>
      <c r="P57" s="61"/>
      <c r="Q57" s="11"/>
      <c r="R57" s="11"/>
      <c r="S57" s="11"/>
      <c r="T57" s="11"/>
      <c r="U57" s="61"/>
      <c r="V57" s="11"/>
      <c r="W57" s="11"/>
      <c r="X57" s="11"/>
      <c r="Y57" s="11"/>
      <c r="Z57" s="61"/>
      <c r="AA57" s="11"/>
      <c r="AB57" s="11"/>
      <c r="AC57" s="11"/>
      <c r="AD57" s="11"/>
      <c r="AE57" s="61"/>
      <c r="AF57" s="11"/>
      <c r="AG57" s="11"/>
      <c r="AH57" s="11"/>
      <c r="AI57" s="11"/>
      <c r="AJ57" s="61"/>
      <c r="AK57" s="11"/>
      <c r="AL57" s="11"/>
      <c r="AM57" s="11"/>
      <c r="AN57" s="11"/>
      <c r="AO57" s="61"/>
      <c r="AP57" s="11"/>
      <c r="AQ57" s="11"/>
      <c r="AR57" s="11"/>
      <c r="AS57" s="11"/>
      <c r="AT57" s="61"/>
      <c r="AU57" s="11"/>
      <c r="AV57" s="11"/>
      <c r="AW57" s="11"/>
      <c r="AX57" s="11"/>
      <c r="AY57" s="61"/>
      <c r="AZ57" s="11"/>
      <c r="BA57" s="11"/>
      <c r="BB57" s="11"/>
      <c r="BC57" s="11"/>
      <c r="BD57" s="61"/>
      <c r="BE57" s="11"/>
      <c r="BF57" s="11"/>
      <c r="BG57" s="11"/>
      <c r="BH57" s="11"/>
      <c r="BI57" s="61"/>
      <c r="BJ57" s="11"/>
      <c r="BK57" s="11"/>
      <c r="BL57" s="11"/>
      <c r="BM57" s="11"/>
      <c r="BN57" s="61"/>
      <c r="BO57" s="11"/>
      <c r="BP57" s="11"/>
      <c r="BQ57" s="11"/>
      <c r="BR57" s="11"/>
      <c r="BS57" s="61"/>
      <c r="BT57" s="11"/>
      <c r="BU57" s="11"/>
      <c r="BV57" s="11"/>
      <c r="BW57" s="11"/>
      <c r="BX57" s="61"/>
      <c r="BY57" s="11"/>
      <c r="BZ57" s="11"/>
      <c r="CA57" s="11"/>
      <c r="CB57" s="11"/>
      <c r="CC57" s="61"/>
      <c r="CD57" s="11"/>
      <c r="CE57" s="11"/>
      <c r="CF57" s="11"/>
      <c r="CG57" s="11"/>
      <c r="CH57" s="61"/>
      <c r="CI57" s="11"/>
      <c r="CJ57" s="11"/>
      <c r="CK57" s="11"/>
      <c r="CL57" s="11"/>
      <c r="CM57" s="61"/>
      <c r="CN57" s="11"/>
      <c r="CO57" s="11"/>
      <c r="CP57" s="11"/>
      <c r="CQ57" s="11"/>
      <c r="CR57" s="61"/>
    </row>
    <row r="58" spans="1:96" ht="11.15" customHeight="1" x14ac:dyDescent="0.2">
      <c r="A58" s="7" t="s">
        <v>92</v>
      </c>
      <c r="B58" s="36"/>
      <c r="C58" s="36">
        <v>0</v>
      </c>
      <c r="D58" s="36">
        <v>0</v>
      </c>
      <c r="E58" s="36">
        <v>0</v>
      </c>
      <c r="F58" s="61">
        <f t="shared" ref="F58:F65" si="113">E58</f>
        <v>0</v>
      </c>
      <c r="G58" s="36">
        <v>0</v>
      </c>
      <c r="H58" s="36">
        <v>0</v>
      </c>
      <c r="I58" s="36">
        <v>0</v>
      </c>
      <c r="J58" s="36">
        <v>0</v>
      </c>
      <c r="K58" s="61">
        <f>J58</f>
        <v>0</v>
      </c>
      <c r="L58" s="36">
        <v>0</v>
      </c>
      <c r="M58" s="36">
        <v>0</v>
      </c>
      <c r="N58" s="36">
        <v>0</v>
      </c>
      <c r="O58" s="36">
        <v>0</v>
      </c>
      <c r="P58" s="61">
        <f>O58</f>
        <v>0</v>
      </c>
      <c r="Q58" s="36">
        <v>0</v>
      </c>
      <c r="R58" s="36">
        <v>0</v>
      </c>
      <c r="S58" s="36">
        <v>0</v>
      </c>
      <c r="T58" s="36">
        <v>0</v>
      </c>
      <c r="U58" s="61">
        <f>T58</f>
        <v>0</v>
      </c>
      <c r="V58" s="36">
        <v>0</v>
      </c>
      <c r="W58" s="36">
        <v>0</v>
      </c>
      <c r="X58" s="36">
        <v>678</v>
      </c>
      <c r="Y58" s="36">
        <v>685</v>
      </c>
      <c r="Z58" s="61">
        <f>Y58</f>
        <v>685</v>
      </c>
      <c r="AA58" s="36">
        <v>1023</v>
      </c>
      <c r="AB58" s="36">
        <v>1047</v>
      </c>
      <c r="AC58" s="36">
        <v>1028</v>
      </c>
      <c r="AD58" s="36">
        <v>999</v>
      </c>
      <c r="AE58" s="61">
        <f>AD58</f>
        <v>999</v>
      </c>
      <c r="AF58" s="36">
        <v>597</v>
      </c>
      <c r="AG58" s="36">
        <v>597</v>
      </c>
      <c r="AH58" s="36">
        <v>2444</v>
      </c>
      <c r="AI58" s="36">
        <v>3023</v>
      </c>
      <c r="AJ58" s="61">
        <f>AI58</f>
        <v>3023</v>
      </c>
      <c r="AK58" s="36">
        <v>3016</v>
      </c>
      <c r="AL58" s="36">
        <v>559</v>
      </c>
      <c r="AM58" s="36">
        <v>375</v>
      </c>
      <c r="AN58" s="36">
        <v>375</v>
      </c>
      <c r="AO58" s="61">
        <f>AN58</f>
        <v>375</v>
      </c>
      <c r="AP58" s="36">
        <v>366</v>
      </c>
      <c r="AQ58" s="36">
        <v>357</v>
      </c>
      <c r="AR58" s="36">
        <v>98</v>
      </c>
      <c r="AS58" s="36">
        <v>98</v>
      </c>
      <c r="AT58" s="61">
        <f>AS58</f>
        <v>98</v>
      </c>
      <c r="AU58" s="36">
        <v>83</v>
      </c>
      <c r="AV58" s="36">
        <v>80</v>
      </c>
      <c r="AW58" s="36">
        <v>69</v>
      </c>
      <c r="AX58" s="36">
        <v>20</v>
      </c>
      <c r="AY58" s="61">
        <f>AX58</f>
        <v>20</v>
      </c>
      <c r="AZ58" s="36">
        <v>21</v>
      </c>
      <c r="BA58" s="36">
        <v>20</v>
      </c>
      <c r="BB58" s="36">
        <v>21</v>
      </c>
      <c r="BC58" s="36">
        <v>0</v>
      </c>
      <c r="BD58" s="61">
        <f>BC58</f>
        <v>0</v>
      </c>
      <c r="BE58" s="36">
        <v>0</v>
      </c>
      <c r="BF58" s="36">
        <v>0</v>
      </c>
      <c r="BG58" s="36">
        <v>0</v>
      </c>
      <c r="BH58" s="36">
        <v>0</v>
      </c>
      <c r="BI58" s="61">
        <f>BH58</f>
        <v>0</v>
      </c>
      <c r="BJ58" s="36">
        <v>0</v>
      </c>
      <c r="BK58" s="36">
        <v>0</v>
      </c>
      <c r="BL58" s="36">
        <v>0</v>
      </c>
      <c r="BM58" s="36">
        <v>0</v>
      </c>
      <c r="BN58" s="61">
        <f>BM58</f>
        <v>0</v>
      </c>
      <c r="BO58" s="36">
        <v>0</v>
      </c>
      <c r="BP58" s="36">
        <v>0</v>
      </c>
      <c r="BQ58" s="36">
        <v>0</v>
      </c>
      <c r="BR58" s="36">
        <v>0</v>
      </c>
      <c r="BS58" s="61">
        <f>BR58</f>
        <v>0</v>
      </c>
      <c r="BT58" s="36">
        <v>0</v>
      </c>
      <c r="BU58" s="36">
        <v>0</v>
      </c>
      <c r="BV58" s="36">
        <v>0</v>
      </c>
      <c r="BW58" s="36">
        <v>1963</v>
      </c>
      <c r="BX58" s="61">
        <f>BW58</f>
        <v>1963</v>
      </c>
      <c r="BY58" s="36">
        <v>1343</v>
      </c>
      <c r="BZ58" s="36">
        <v>1529</v>
      </c>
      <c r="CA58" s="36">
        <v>1406</v>
      </c>
      <c r="CB58" s="36">
        <v>1371</v>
      </c>
      <c r="CC58" s="61">
        <f>CB58</f>
        <v>1371</v>
      </c>
      <c r="CD58" s="36">
        <v>1615</v>
      </c>
      <c r="CE58" s="36">
        <v>1460</v>
      </c>
      <c r="CF58" s="36">
        <v>0</v>
      </c>
      <c r="CG58" s="36">
        <v>0</v>
      </c>
      <c r="CH58" s="61">
        <f>CG58</f>
        <v>0</v>
      </c>
      <c r="CI58" s="36">
        <v>0</v>
      </c>
      <c r="CJ58" s="36">
        <v>0</v>
      </c>
      <c r="CK58" s="36">
        <v>0</v>
      </c>
      <c r="CL58" s="36">
        <v>0</v>
      </c>
      <c r="CM58" s="61">
        <f>CL58</f>
        <v>0</v>
      </c>
      <c r="CN58" s="36">
        <v>0</v>
      </c>
      <c r="CO58" s="36">
        <v>0</v>
      </c>
      <c r="CP58" s="36"/>
      <c r="CQ58" s="36"/>
      <c r="CR58" s="61">
        <f>CQ58</f>
        <v>0</v>
      </c>
    </row>
    <row r="59" spans="1:96" ht="11.15" customHeight="1" x14ac:dyDescent="0.2">
      <c r="A59" s="7" t="s">
        <v>76</v>
      </c>
      <c r="B59" s="11"/>
      <c r="C59" s="11">
        <f t="shared" ref="C59:E60" si="114">C27</f>
        <v>11011</v>
      </c>
      <c r="D59" s="11">
        <f t="shared" si="114"/>
        <v>7886</v>
      </c>
      <c r="E59" s="11">
        <f t="shared" si="114"/>
        <v>2603</v>
      </c>
      <c r="F59" s="61">
        <f t="shared" si="113"/>
        <v>2603</v>
      </c>
      <c r="G59" s="11">
        <f t="shared" ref="G59:J60" si="115">G27</f>
        <v>848</v>
      </c>
      <c r="H59" s="11">
        <f t="shared" si="115"/>
        <v>10732</v>
      </c>
      <c r="I59" s="11">
        <f t="shared" si="115"/>
        <v>15566</v>
      </c>
      <c r="J59" s="11">
        <f t="shared" si="115"/>
        <v>11218</v>
      </c>
      <c r="K59" s="61">
        <f t="shared" ref="K59:K65" si="116">J59</f>
        <v>11218</v>
      </c>
      <c r="L59" s="11">
        <f t="shared" ref="L59:O60" si="117">L27</f>
        <v>15336</v>
      </c>
      <c r="M59" s="11">
        <f t="shared" si="117"/>
        <v>19850</v>
      </c>
      <c r="N59" s="11">
        <f t="shared" si="117"/>
        <v>16001</v>
      </c>
      <c r="O59" s="11">
        <f t="shared" si="117"/>
        <v>19769</v>
      </c>
      <c r="P59" s="61">
        <f t="shared" ref="P59:P65" si="118">O59</f>
        <v>19769</v>
      </c>
      <c r="Q59" s="11">
        <f t="shared" ref="Q59:T60" si="119">Q27</f>
        <v>29760</v>
      </c>
      <c r="R59" s="11">
        <f t="shared" si="119"/>
        <v>31401</v>
      </c>
      <c r="S59" s="11">
        <f t="shared" si="119"/>
        <v>15476</v>
      </c>
      <c r="T59" s="11">
        <f t="shared" si="119"/>
        <v>6007</v>
      </c>
      <c r="U59" s="61">
        <f t="shared" ref="U59:U65" si="120">T59</f>
        <v>6007</v>
      </c>
      <c r="V59" s="11">
        <f t="shared" ref="V59:Y60" si="121">V27</f>
        <v>7098</v>
      </c>
      <c r="W59" s="11">
        <f t="shared" si="121"/>
        <v>6300</v>
      </c>
      <c r="X59" s="11">
        <f t="shared" si="121"/>
        <v>4634</v>
      </c>
      <c r="Y59" s="11">
        <f t="shared" si="121"/>
        <v>6841</v>
      </c>
      <c r="Z59" s="61">
        <f t="shared" ref="Z59:Z65" si="122">Y59</f>
        <v>6841</v>
      </c>
      <c r="AA59" s="11">
        <f t="shared" ref="AA59:AD60" si="123">AA27</f>
        <v>6587</v>
      </c>
      <c r="AB59" s="11">
        <f t="shared" si="123"/>
        <v>7205</v>
      </c>
      <c r="AC59" s="11">
        <f t="shared" si="123"/>
        <v>7731</v>
      </c>
      <c r="AD59" s="11">
        <f t="shared" si="123"/>
        <v>7057</v>
      </c>
      <c r="AE59" s="61">
        <f t="shared" ref="AE59:AE65" si="124">AD59</f>
        <v>7057</v>
      </c>
      <c r="AF59" s="11">
        <f t="shared" ref="AF59:AI60" si="125">AF27</f>
        <v>9652</v>
      </c>
      <c r="AG59" s="11">
        <f t="shared" si="125"/>
        <v>4037</v>
      </c>
      <c r="AH59" s="11">
        <f t="shared" si="125"/>
        <v>4900</v>
      </c>
      <c r="AI59" s="11">
        <f t="shared" si="125"/>
        <v>2442</v>
      </c>
      <c r="AJ59" s="61">
        <f t="shared" ref="AJ59:AJ65" si="126">AI59</f>
        <v>2442</v>
      </c>
      <c r="AK59" s="11">
        <f t="shared" ref="AK59:AN60" si="127">AK27</f>
        <v>9802</v>
      </c>
      <c r="AL59" s="11">
        <f t="shared" si="127"/>
        <v>1822</v>
      </c>
      <c r="AM59" s="11">
        <f t="shared" si="127"/>
        <v>1547</v>
      </c>
      <c r="AN59" s="11">
        <f t="shared" si="127"/>
        <v>3296</v>
      </c>
      <c r="AO59" s="61">
        <f t="shared" ref="AO59:AO65" si="128">AN59</f>
        <v>3296</v>
      </c>
      <c r="AP59" s="11">
        <f t="shared" ref="AP59:AS60" si="129">AP27</f>
        <v>2300</v>
      </c>
      <c r="AQ59" s="11">
        <f t="shared" si="129"/>
        <v>2724</v>
      </c>
      <c r="AR59" s="11">
        <f t="shared" si="129"/>
        <v>2276</v>
      </c>
      <c r="AS59" s="11">
        <f t="shared" si="129"/>
        <v>2631</v>
      </c>
      <c r="AT59" s="61">
        <f t="shared" ref="AT59:AT65" si="130">AS59</f>
        <v>2631</v>
      </c>
      <c r="AU59" s="11">
        <f t="shared" ref="AU59:AX60" si="131">AU27</f>
        <v>523</v>
      </c>
      <c r="AV59" s="11">
        <f t="shared" si="131"/>
        <v>1600</v>
      </c>
      <c r="AW59" s="11">
        <f t="shared" si="131"/>
        <v>248</v>
      </c>
      <c r="AX59" s="11">
        <f t="shared" si="131"/>
        <v>0</v>
      </c>
      <c r="AY59" s="61">
        <f t="shared" ref="AY59:AY65" si="132">AX59</f>
        <v>0</v>
      </c>
      <c r="AZ59" s="11">
        <f t="shared" ref="AZ59:BC60" si="133">AZ27</f>
        <v>0</v>
      </c>
      <c r="BA59" s="11">
        <f t="shared" si="133"/>
        <v>0</v>
      </c>
      <c r="BB59" s="11">
        <f t="shared" si="133"/>
        <v>0</v>
      </c>
      <c r="BC59" s="11">
        <f t="shared" si="133"/>
        <v>0</v>
      </c>
      <c r="BD59" s="61">
        <f t="shared" ref="BD59:BD65" si="134">BC59</f>
        <v>0</v>
      </c>
      <c r="BE59" s="11">
        <f t="shared" ref="BE59:BG60" si="135">BE27</f>
        <v>0</v>
      </c>
      <c r="BF59" s="11">
        <f t="shared" si="135"/>
        <v>0</v>
      </c>
      <c r="BG59" s="11">
        <f t="shared" si="135"/>
        <v>0</v>
      </c>
      <c r="BH59" s="11">
        <f t="shared" ref="BH59" si="136">BH27</f>
        <v>0</v>
      </c>
      <c r="BI59" s="61">
        <f t="shared" ref="BI59:BI65" si="137">BH59</f>
        <v>0</v>
      </c>
      <c r="BJ59" s="11">
        <f t="shared" ref="BJ59:BK60" si="138">BJ27</f>
        <v>0</v>
      </c>
      <c r="BK59" s="11">
        <f t="shared" si="138"/>
        <v>0</v>
      </c>
      <c r="BL59" s="11">
        <f t="shared" ref="BL59" si="139">BL27</f>
        <v>0</v>
      </c>
      <c r="BM59" s="11">
        <f t="shared" ref="BM59:BM60" si="140">BM27</f>
        <v>0</v>
      </c>
      <c r="BN59" s="61">
        <f t="shared" ref="BN59:BN65" si="141">BM59</f>
        <v>0</v>
      </c>
      <c r="BO59" s="11">
        <f t="shared" ref="BO59:BP60" si="142">BO27</f>
        <v>0</v>
      </c>
      <c r="BP59" s="11">
        <f t="shared" si="142"/>
        <v>0</v>
      </c>
      <c r="BQ59" s="11">
        <f t="shared" ref="BQ59:BR60" si="143">BQ27</f>
        <v>0</v>
      </c>
      <c r="BR59" s="11">
        <f t="shared" si="143"/>
        <v>0</v>
      </c>
      <c r="BS59" s="61">
        <f t="shared" ref="BS59:BS65" si="144">BR59</f>
        <v>0</v>
      </c>
      <c r="BT59" s="11">
        <f t="shared" ref="BT59:BU59" si="145">BT27</f>
        <v>0</v>
      </c>
      <c r="BU59" s="11">
        <f t="shared" si="145"/>
        <v>0</v>
      </c>
      <c r="BV59" s="11">
        <v>0</v>
      </c>
      <c r="BW59" s="11">
        <v>0</v>
      </c>
      <c r="BX59" s="61">
        <f t="shared" ref="BX59:BX65" si="146">BW59</f>
        <v>0</v>
      </c>
      <c r="BY59" s="11">
        <f t="shared" ref="BY59:BZ59" si="147">BY27</f>
        <v>0</v>
      </c>
      <c r="BZ59" s="11">
        <f t="shared" si="147"/>
        <v>0</v>
      </c>
      <c r="CA59" s="11">
        <f t="shared" ref="CA59:CB59" si="148">CA27</f>
        <v>0</v>
      </c>
      <c r="CB59" s="11">
        <f t="shared" si="148"/>
        <v>0</v>
      </c>
      <c r="CC59" s="61">
        <f t="shared" ref="CC59:CC65" si="149">CB59</f>
        <v>0</v>
      </c>
      <c r="CD59" s="11">
        <f t="shared" ref="CD59:CE59" si="150">CD27</f>
        <v>0</v>
      </c>
      <c r="CE59" s="11">
        <f t="shared" si="150"/>
        <v>0</v>
      </c>
      <c r="CF59" s="11">
        <f t="shared" ref="CF59:CG59" si="151">CF27</f>
        <v>0</v>
      </c>
      <c r="CG59" s="11">
        <f t="shared" si="151"/>
        <v>0</v>
      </c>
      <c r="CH59" s="61">
        <f t="shared" ref="CH59:CH65" si="152">CG59</f>
        <v>0</v>
      </c>
      <c r="CI59" s="11">
        <v>0</v>
      </c>
      <c r="CJ59" s="11">
        <v>0</v>
      </c>
      <c r="CK59" s="11">
        <f t="shared" ref="CK59:CL59" si="153">CK27</f>
        <v>0</v>
      </c>
      <c r="CL59" s="11">
        <f t="shared" si="153"/>
        <v>0</v>
      </c>
      <c r="CM59" s="61">
        <f t="shared" ref="CM59:CM65" si="154">CL59</f>
        <v>0</v>
      </c>
      <c r="CN59" s="11">
        <f t="shared" ref="CN59:CO59" si="155">CN27</f>
        <v>0</v>
      </c>
      <c r="CO59" s="11">
        <f t="shared" si="155"/>
        <v>0</v>
      </c>
      <c r="CP59" s="11">
        <f t="shared" ref="CP59:CQ59" si="156">CP27</f>
        <v>0</v>
      </c>
      <c r="CQ59" s="11">
        <f t="shared" si="156"/>
        <v>0</v>
      </c>
      <c r="CR59" s="61">
        <f t="shared" ref="CR59:CR65" si="157">CQ59</f>
        <v>0</v>
      </c>
    </row>
    <row r="60" spans="1:96" ht="11.15" customHeight="1" x14ac:dyDescent="0.2">
      <c r="A60" s="7" t="str">
        <f>A28</f>
        <v>Current portion of long-term debt</v>
      </c>
      <c r="B60" s="11"/>
      <c r="C60" s="11">
        <f t="shared" si="114"/>
        <v>15301</v>
      </c>
      <c r="D60" s="11">
        <f t="shared" si="114"/>
        <v>10025</v>
      </c>
      <c r="E60" s="11">
        <f t="shared" si="114"/>
        <v>8299</v>
      </c>
      <c r="F60" s="61">
        <f t="shared" si="113"/>
        <v>8299</v>
      </c>
      <c r="G60" s="11">
        <f t="shared" si="115"/>
        <v>0</v>
      </c>
      <c r="H60" s="11">
        <f t="shared" si="115"/>
        <v>0</v>
      </c>
      <c r="I60" s="11">
        <f t="shared" si="115"/>
        <v>0</v>
      </c>
      <c r="J60" s="11">
        <f t="shared" si="115"/>
        <v>0</v>
      </c>
      <c r="K60" s="61">
        <f t="shared" si="116"/>
        <v>0</v>
      </c>
      <c r="L60" s="11">
        <f t="shared" si="117"/>
        <v>0</v>
      </c>
      <c r="M60" s="11">
        <f t="shared" si="117"/>
        <v>1333</v>
      </c>
      <c r="N60" s="11">
        <f t="shared" si="117"/>
        <v>1333</v>
      </c>
      <c r="O60" s="11">
        <f t="shared" si="117"/>
        <v>1333</v>
      </c>
      <c r="P60" s="61">
        <f t="shared" si="118"/>
        <v>1333</v>
      </c>
      <c r="Q60" s="11">
        <f t="shared" si="119"/>
        <v>1333</v>
      </c>
      <c r="R60" s="11">
        <f t="shared" si="119"/>
        <v>1333</v>
      </c>
      <c r="S60" s="11">
        <f t="shared" si="119"/>
        <v>1333</v>
      </c>
      <c r="T60" s="11">
        <f t="shared" si="119"/>
        <v>1333</v>
      </c>
      <c r="U60" s="61">
        <f t="shared" si="120"/>
        <v>1333</v>
      </c>
      <c r="V60" s="11">
        <f t="shared" si="121"/>
        <v>1333</v>
      </c>
      <c r="W60" s="11">
        <f t="shared" si="121"/>
        <v>1333</v>
      </c>
      <c r="X60" s="11">
        <f t="shared" si="121"/>
        <v>1333</v>
      </c>
      <c r="Y60" s="11">
        <f t="shared" si="121"/>
        <v>1333</v>
      </c>
      <c r="Z60" s="61">
        <f t="shared" si="122"/>
        <v>1333</v>
      </c>
      <c r="AA60" s="11">
        <f t="shared" si="123"/>
        <v>1531</v>
      </c>
      <c r="AB60" s="11">
        <f t="shared" si="123"/>
        <v>1586</v>
      </c>
      <c r="AC60" s="11">
        <f t="shared" si="123"/>
        <v>1546</v>
      </c>
      <c r="AD60" s="11">
        <f t="shared" si="123"/>
        <v>1613</v>
      </c>
      <c r="AE60" s="61">
        <f t="shared" si="124"/>
        <v>1613</v>
      </c>
      <c r="AF60" s="11">
        <f t="shared" si="125"/>
        <v>1575</v>
      </c>
      <c r="AG60" s="11">
        <f t="shared" si="125"/>
        <v>1580</v>
      </c>
      <c r="AH60" s="11">
        <f t="shared" si="125"/>
        <v>1572</v>
      </c>
      <c r="AI60" s="11">
        <f t="shared" si="125"/>
        <v>1505</v>
      </c>
      <c r="AJ60" s="61">
        <f t="shared" si="126"/>
        <v>1505</v>
      </c>
      <c r="AK60" s="11">
        <f t="shared" si="127"/>
        <v>1529</v>
      </c>
      <c r="AL60" s="11">
        <f t="shared" si="127"/>
        <v>1333</v>
      </c>
      <c r="AM60" s="11">
        <f t="shared" si="127"/>
        <v>1333</v>
      </c>
      <c r="AN60" s="11">
        <f t="shared" si="127"/>
        <v>1333</v>
      </c>
      <c r="AO60" s="61">
        <f t="shared" si="128"/>
        <v>1333</v>
      </c>
      <c r="AP60" s="11">
        <f t="shared" si="129"/>
        <v>1333</v>
      </c>
      <c r="AQ60" s="11">
        <f t="shared" si="129"/>
        <v>12000</v>
      </c>
      <c r="AR60" s="11">
        <f t="shared" si="129"/>
        <v>11667</v>
      </c>
      <c r="AS60" s="11">
        <f t="shared" si="129"/>
        <v>13333</v>
      </c>
      <c r="AT60" s="61">
        <f t="shared" si="130"/>
        <v>13333</v>
      </c>
      <c r="AU60" s="11">
        <f t="shared" si="131"/>
        <v>13000</v>
      </c>
      <c r="AV60" s="11">
        <f t="shared" si="131"/>
        <v>2000</v>
      </c>
      <c r="AW60" s="11">
        <f t="shared" si="131"/>
        <v>2000</v>
      </c>
      <c r="AX60" s="11">
        <f t="shared" si="131"/>
        <v>2000</v>
      </c>
      <c r="AY60" s="61">
        <f t="shared" si="132"/>
        <v>2000</v>
      </c>
      <c r="AZ60" s="11">
        <f t="shared" si="133"/>
        <v>2000</v>
      </c>
      <c r="BA60" s="11">
        <f t="shared" si="133"/>
        <v>3188</v>
      </c>
      <c r="BB60" s="11">
        <f t="shared" si="133"/>
        <v>3188</v>
      </c>
      <c r="BC60" s="11">
        <f t="shared" si="133"/>
        <v>3188</v>
      </c>
      <c r="BD60" s="61">
        <f t="shared" si="134"/>
        <v>3188</v>
      </c>
      <c r="BE60" s="11">
        <f t="shared" si="135"/>
        <v>3188</v>
      </c>
      <c r="BF60" s="11">
        <f t="shared" si="135"/>
        <v>1188</v>
      </c>
      <c r="BG60" s="11">
        <f t="shared" si="135"/>
        <v>3576</v>
      </c>
      <c r="BH60" s="11">
        <f t="shared" ref="BH60" si="158">BH28</f>
        <v>3604</v>
      </c>
      <c r="BI60" s="61">
        <f t="shared" si="137"/>
        <v>3604</v>
      </c>
      <c r="BJ60" s="11">
        <f t="shared" ref="BJ60" si="159">BJ28</f>
        <v>3604</v>
      </c>
      <c r="BK60" s="11">
        <f t="shared" si="138"/>
        <v>3637</v>
      </c>
      <c r="BL60" s="11">
        <f t="shared" ref="BL60" si="160">BL28</f>
        <v>3654</v>
      </c>
      <c r="BM60" s="11">
        <f t="shared" si="140"/>
        <v>3671</v>
      </c>
      <c r="BN60" s="61">
        <f t="shared" si="141"/>
        <v>3671</v>
      </c>
      <c r="BO60" s="11">
        <f t="shared" si="142"/>
        <v>3688</v>
      </c>
      <c r="BP60" s="11">
        <f t="shared" si="142"/>
        <v>3705</v>
      </c>
      <c r="BQ60" s="11">
        <f t="shared" ref="BQ60" si="161">BQ28</f>
        <v>3722</v>
      </c>
      <c r="BR60" s="11">
        <f t="shared" si="143"/>
        <v>3740</v>
      </c>
      <c r="BS60" s="61">
        <f t="shared" si="144"/>
        <v>3740</v>
      </c>
      <c r="BT60" s="11">
        <f t="shared" ref="BT60:BU60" si="162">BT28</f>
        <v>3757</v>
      </c>
      <c r="BU60" s="11">
        <f t="shared" si="162"/>
        <v>3775</v>
      </c>
      <c r="BV60" s="11">
        <f t="shared" ref="BV60:BW60" si="163">BV28</f>
        <v>3792</v>
      </c>
      <c r="BW60" s="11">
        <f t="shared" si="163"/>
        <v>3810</v>
      </c>
      <c r="BX60" s="61">
        <f t="shared" si="146"/>
        <v>3810</v>
      </c>
      <c r="BY60" s="11">
        <f t="shared" ref="BY60:CB60" si="164">BY28</f>
        <v>3828</v>
      </c>
      <c r="BZ60" s="11">
        <f t="shared" si="164"/>
        <v>3846</v>
      </c>
      <c r="CA60" s="11">
        <f t="shared" ref="CA60" si="165">CA28</f>
        <v>18788</v>
      </c>
      <c r="CB60" s="11">
        <f t="shared" si="164"/>
        <v>18126</v>
      </c>
      <c r="CC60" s="61">
        <f t="shared" si="149"/>
        <v>18126</v>
      </c>
      <c r="CD60" s="11">
        <f>CD28</f>
        <v>17459</v>
      </c>
      <c r="CE60" s="11">
        <f>CE28</f>
        <v>32225</v>
      </c>
      <c r="CF60" s="11">
        <f>CF28</f>
        <v>16328</v>
      </c>
      <c r="CG60" s="11">
        <f>CG28</f>
        <v>16031</v>
      </c>
      <c r="CH60" s="61">
        <f t="shared" si="152"/>
        <v>16031</v>
      </c>
      <c r="CI60" s="11">
        <f>CI28</f>
        <v>15734</v>
      </c>
      <c r="CJ60" s="11">
        <f>CJ28</f>
        <v>0</v>
      </c>
      <c r="CK60" s="11">
        <f>CK28</f>
        <v>0</v>
      </c>
      <c r="CL60" s="11">
        <f>CL28</f>
        <v>0</v>
      </c>
      <c r="CM60" s="61">
        <f t="shared" si="154"/>
        <v>0</v>
      </c>
      <c r="CN60" s="11">
        <f>CN28</f>
        <v>0</v>
      </c>
      <c r="CO60" s="11">
        <f>CO28</f>
        <v>0</v>
      </c>
      <c r="CP60" s="11">
        <f>CP28</f>
        <v>0</v>
      </c>
      <c r="CQ60" s="11">
        <f>CQ28</f>
        <v>0</v>
      </c>
      <c r="CR60" s="61">
        <f t="shared" si="157"/>
        <v>0</v>
      </c>
    </row>
    <row r="61" spans="1:96" ht="11.15" customHeight="1" x14ac:dyDescent="0.2">
      <c r="A61" s="7" t="str">
        <f>A38</f>
        <v>Long-term debt, net of current portion</v>
      </c>
      <c r="B61" s="11"/>
      <c r="C61" s="11">
        <f>C38</f>
        <v>25830</v>
      </c>
      <c r="D61" s="11">
        <f>D38</f>
        <v>32126</v>
      </c>
      <c r="E61" s="11">
        <f>E38</f>
        <v>30068</v>
      </c>
      <c r="F61" s="61">
        <f t="shared" si="113"/>
        <v>30068</v>
      </c>
      <c r="G61" s="11">
        <f>G38</f>
        <v>20000</v>
      </c>
      <c r="H61" s="11">
        <f>H38</f>
        <v>20000</v>
      </c>
      <c r="I61" s="11">
        <f>I38</f>
        <v>20000</v>
      </c>
      <c r="J61" s="11">
        <f>J38</f>
        <v>20000</v>
      </c>
      <c r="K61" s="61">
        <f t="shared" si="116"/>
        <v>20000</v>
      </c>
      <c r="L61" s="11">
        <f>L38</f>
        <v>20000</v>
      </c>
      <c r="M61" s="11">
        <f>M38</f>
        <v>18710</v>
      </c>
      <c r="N61" s="11">
        <f>N38</f>
        <v>18356</v>
      </c>
      <c r="O61" s="11">
        <f>O38</f>
        <v>17997</v>
      </c>
      <c r="P61" s="61">
        <f t="shared" si="118"/>
        <v>17997</v>
      </c>
      <c r="Q61" s="11">
        <f>Q38</f>
        <v>17649</v>
      </c>
      <c r="R61" s="11">
        <f>R38</f>
        <v>17334</v>
      </c>
      <c r="S61" s="11">
        <f>S38</f>
        <v>17000</v>
      </c>
      <c r="T61" s="11">
        <f>T38</f>
        <v>16667</v>
      </c>
      <c r="U61" s="61">
        <f t="shared" si="120"/>
        <v>16667</v>
      </c>
      <c r="V61" s="11">
        <f>V38</f>
        <v>16333</v>
      </c>
      <c r="W61" s="11">
        <f>W38</f>
        <v>16649</v>
      </c>
      <c r="X61" s="11">
        <f>X38</f>
        <v>16382</v>
      </c>
      <c r="Y61" s="11">
        <f>Y38</f>
        <v>15644</v>
      </c>
      <c r="Z61" s="61">
        <f t="shared" si="122"/>
        <v>15644</v>
      </c>
      <c r="AA61" s="11">
        <f>AA38</f>
        <v>17112</v>
      </c>
      <c r="AB61" s="11">
        <f>AB38</f>
        <v>16758</v>
      </c>
      <c r="AC61" s="11">
        <f>AC38</f>
        <v>16296</v>
      </c>
      <c r="AD61" s="11">
        <f>AD38</f>
        <v>15726</v>
      </c>
      <c r="AE61" s="61">
        <f t="shared" si="124"/>
        <v>15726</v>
      </c>
      <c r="AF61" s="11">
        <f>AF38</f>
        <v>15132</v>
      </c>
      <c r="AG61" s="11">
        <f>AG38</f>
        <v>14671</v>
      </c>
      <c r="AH61" s="11">
        <f>AH38</f>
        <v>14341</v>
      </c>
      <c r="AI61" s="11">
        <f>AI38</f>
        <v>14014</v>
      </c>
      <c r="AJ61" s="61">
        <f t="shared" si="126"/>
        <v>14014</v>
      </c>
      <c r="AK61" s="11">
        <f>AK38</f>
        <v>12525</v>
      </c>
      <c r="AL61" s="11">
        <f>AL38</f>
        <v>12000</v>
      </c>
      <c r="AM61" s="11">
        <f>AM38</f>
        <v>11667</v>
      </c>
      <c r="AN61" s="11">
        <f>AN38</f>
        <v>11333</v>
      </c>
      <c r="AO61" s="61">
        <f t="shared" si="128"/>
        <v>11333</v>
      </c>
      <c r="AP61" s="11">
        <f>AP38</f>
        <v>11000</v>
      </c>
      <c r="AQ61" s="11">
        <f>AQ38</f>
        <v>0</v>
      </c>
      <c r="AR61" s="11">
        <f>AR38</f>
        <v>0</v>
      </c>
      <c r="AS61" s="11">
        <f>AS38</f>
        <v>19667</v>
      </c>
      <c r="AT61" s="61">
        <f t="shared" si="130"/>
        <v>19667</v>
      </c>
      <c r="AU61" s="11">
        <f>AU38</f>
        <v>19167</v>
      </c>
      <c r="AV61" s="11">
        <f>AV38</f>
        <v>18667</v>
      </c>
      <c r="AW61" s="11">
        <f>AW38</f>
        <v>18167</v>
      </c>
      <c r="AX61" s="11">
        <f>AX38</f>
        <v>17667</v>
      </c>
      <c r="AY61" s="61">
        <f t="shared" si="132"/>
        <v>17667</v>
      </c>
      <c r="AZ61" s="11">
        <f>AZ38</f>
        <v>17167</v>
      </c>
      <c r="BA61" s="11">
        <f>BA38</f>
        <v>39229</v>
      </c>
      <c r="BB61" s="11">
        <f>BB38</f>
        <v>38432</v>
      </c>
      <c r="BC61" s="11">
        <f>BC38</f>
        <v>37635</v>
      </c>
      <c r="BD61" s="61">
        <f t="shared" si="134"/>
        <v>37635</v>
      </c>
      <c r="BE61" s="11">
        <f>BE38</f>
        <v>36839</v>
      </c>
      <c r="BF61" s="11">
        <f>BF38</f>
        <v>21375</v>
      </c>
      <c r="BG61" s="11">
        <f>BG38</f>
        <v>46296</v>
      </c>
      <c r="BH61" s="11">
        <f>BH38</f>
        <v>45378</v>
      </c>
      <c r="BI61" s="61">
        <f t="shared" si="137"/>
        <v>45378</v>
      </c>
      <c r="BJ61" s="11">
        <f>BJ38</f>
        <v>44483</v>
      </c>
      <c r="BK61" s="11">
        <f>BK38</f>
        <v>43551</v>
      </c>
      <c r="BL61" s="11">
        <f>BL38</f>
        <v>42631</v>
      </c>
      <c r="BM61" s="11">
        <f>BM38</f>
        <v>41707</v>
      </c>
      <c r="BN61" s="61">
        <f t="shared" si="141"/>
        <v>41707</v>
      </c>
      <c r="BO61" s="11">
        <f>BO38</f>
        <v>40779</v>
      </c>
      <c r="BP61" s="11">
        <f>BP38</f>
        <v>39846</v>
      </c>
      <c r="BQ61" s="11">
        <f>BQ38</f>
        <v>38909</v>
      </c>
      <c r="BR61" s="11">
        <f>BR38</f>
        <v>37968</v>
      </c>
      <c r="BS61" s="61">
        <f t="shared" si="144"/>
        <v>37968</v>
      </c>
      <c r="BT61" s="11">
        <f>BT38</f>
        <v>37022</v>
      </c>
      <c r="BU61" s="11">
        <f>BU38</f>
        <v>36071</v>
      </c>
      <c r="BV61" s="11">
        <f>BV38</f>
        <v>35117</v>
      </c>
      <c r="BW61" s="11">
        <f>BW38</f>
        <v>34157</v>
      </c>
      <c r="BX61" s="61">
        <f t="shared" si="146"/>
        <v>34157</v>
      </c>
      <c r="BY61" s="11">
        <f>BY38</f>
        <v>33193</v>
      </c>
      <c r="BZ61" s="11">
        <f>BZ38</f>
        <v>32225</v>
      </c>
      <c r="CA61" s="11">
        <f>CA38</f>
        <v>16328</v>
      </c>
      <c r="CB61" s="11">
        <f>CB38</f>
        <v>16031</v>
      </c>
      <c r="CC61" s="61">
        <f t="shared" si="149"/>
        <v>16031</v>
      </c>
      <c r="CD61" s="11">
        <f>CD38</f>
        <v>15734</v>
      </c>
      <c r="CE61" s="11">
        <f>CE38</f>
        <v>0</v>
      </c>
      <c r="CF61" s="11">
        <f>CF38</f>
        <v>0</v>
      </c>
      <c r="CG61" s="11">
        <f>CG38</f>
        <v>0</v>
      </c>
      <c r="CH61" s="61">
        <f t="shared" si="152"/>
        <v>0</v>
      </c>
      <c r="CI61" s="11">
        <f>CI38</f>
        <v>0</v>
      </c>
      <c r="CJ61" s="11">
        <f>CJ38</f>
        <v>0</v>
      </c>
      <c r="CK61" s="11">
        <f>CK38</f>
        <v>0</v>
      </c>
      <c r="CL61" s="11">
        <f>CL38</f>
        <v>0</v>
      </c>
      <c r="CM61" s="61">
        <f t="shared" si="154"/>
        <v>0</v>
      </c>
      <c r="CN61" s="11">
        <f>CN38</f>
        <v>0</v>
      </c>
      <c r="CO61" s="11">
        <f>CO38</f>
        <v>0</v>
      </c>
      <c r="CP61" s="11">
        <f>CP38</f>
        <v>0</v>
      </c>
      <c r="CQ61" s="11">
        <f>CQ38</f>
        <v>0</v>
      </c>
      <c r="CR61" s="61">
        <f t="shared" si="157"/>
        <v>0</v>
      </c>
    </row>
    <row r="62" spans="1:96" ht="11.15" customHeight="1" x14ac:dyDescent="0.2">
      <c r="A62" s="7" t="str">
        <f>A41</f>
        <v>Redeemable Noncontrolling Interests</v>
      </c>
      <c r="B62" s="11"/>
      <c r="C62" s="11">
        <f>C41</f>
        <v>0</v>
      </c>
      <c r="D62" s="11">
        <f>D41</f>
        <v>0</v>
      </c>
      <c r="E62" s="11">
        <f>E41</f>
        <v>0</v>
      </c>
      <c r="F62" s="61">
        <f t="shared" si="113"/>
        <v>0</v>
      </c>
      <c r="G62" s="11">
        <f>G41</f>
        <v>0</v>
      </c>
      <c r="H62" s="11">
        <f>H41</f>
        <v>0</v>
      </c>
      <c r="I62" s="11">
        <f>I41</f>
        <v>0</v>
      </c>
      <c r="J62" s="11">
        <f>J41</f>
        <v>0</v>
      </c>
      <c r="K62" s="61">
        <f t="shared" si="116"/>
        <v>0</v>
      </c>
      <c r="L62" s="11">
        <f>L41</f>
        <v>0</v>
      </c>
      <c r="M62" s="11">
        <f>M41</f>
        <v>0</v>
      </c>
      <c r="N62" s="11">
        <f>N41</f>
        <v>0</v>
      </c>
      <c r="O62" s="11">
        <f>O41</f>
        <v>0</v>
      </c>
      <c r="P62" s="61">
        <f t="shared" si="118"/>
        <v>0</v>
      </c>
      <c r="Q62" s="11">
        <f>Q41</f>
        <v>0</v>
      </c>
      <c r="R62" s="11">
        <f>R41</f>
        <v>0</v>
      </c>
      <c r="S62" s="11">
        <f>S41</f>
        <v>0</v>
      </c>
      <c r="T62" s="11">
        <f>T41</f>
        <v>0</v>
      </c>
      <c r="U62" s="61">
        <f t="shared" si="120"/>
        <v>0</v>
      </c>
      <c r="V62" s="11">
        <f>V41</f>
        <v>0</v>
      </c>
      <c r="W62" s="11">
        <f>W41</f>
        <v>0</v>
      </c>
      <c r="X62" s="11">
        <f>X41</f>
        <v>0</v>
      </c>
      <c r="Y62" s="11">
        <f>Y41</f>
        <v>24903</v>
      </c>
      <c r="Z62" s="61">
        <f t="shared" si="122"/>
        <v>24903</v>
      </c>
      <c r="AA62" s="11">
        <f>AA41</f>
        <v>25839</v>
      </c>
      <c r="AB62" s="11">
        <f>AB41</f>
        <v>46730</v>
      </c>
      <c r="AC62" s="11">
        <f>AC41</f>
        <v>45651</v>
      </c>
      <c r="AD62" s="11">
        <f>AD41</f>
        <v>46123</v>
      </c>
      <c r="AE62" s="61">
        <f t="shared" si="124"/>
        <v>46123</v>
      </c>
      <c r="AF62" s="11">
        <f>AF41</f>
        <v>48387</v>
      </c>
      <c r="AG62" s="11">
        <f>AG41</f>
        <v>0</v>
      </c>
      <c r="AH62" s="11">
        <f>AH41</f>
        <v>0</v>
      </c>
      <c r="AI62" s="11">
        <f>AI41</f>
        <v>0</v>
      </c>
      <c r="AJ62" s="61">
        <f t="shared" si="126"/>
        <v>0</v>
      </c>
      <c r="AK62" s="11">
        <f>AK41</f>
        <v>0</v>
      </c>
      <c r="AL62" s="11">
        <f>AL41</f>
        <v>0</v>
      </c>
      <c r="AM62" s="11">
        <f>AM41</f>
        <v>0</v>
      </c>
      <c r="AN62" s="11">
        <f>AN41</f>
        <v>0</v>
      </c>
      <c r="AO62" s="61">
        <f t="shared" si="128"/>
        <v>0</v>
      </c>
      <c r="AP62" s="11">
        <f>AP41</f>
        <v>0</v>
      </c>
      <c r="AQ62" s="11">
        <f>AQ41</f>
        <v>0</v>
      </c>
      <c r="AR62" s="11">
        <f>AR41</f>
        <v>0</v>
      </c>
      <c r="AS62" s="11">
        <f>AS41</f>
        <v>0</v>
      </c>
      <c r="AT62" s="61">
        <f t="shared" si="130"/>
        <v>0</v>
      </c>
      <c r="AU62" s="11">
        <f>AU41</f>
        <v>0</v>
      </c>
      <c r="AV62" s="11">
        <f>AV41</f>
        <v>0</v>
      </c>
      <c r="AW62" s="11">
        <f>AW41</f>
        <v>0</v>
      </c>
      <c r="AX62" s="11">
        <f>AX41</f>
        <v>0</v>
      </c>
      <c r="AY62" s="61">
        <f t="shared" si="132"/>
        <v>0</v>
      </c>
      <c r="AZ62" s="11">
        <f>AZ41</f>
        <v>0</v>
      </c>
      <c r="BA62" s="11">
        <f>BA41</f>
        <v>0</v>
      </c>
      <c r="BB62" s="11">
        <f>BB41</f>
        <v>0</v>
      </c>
      <c r="BC62" s="11">
        <f>BC41</f>
        <v>0</v>
      </c>
      <c r="BD62" s="61">
        <f t="shared" si="134"/>
        <v>0</v>
      </c>
      <c r="BE62" s="11">
        <f>BE41</f>
        <v>0</v>
      </c>
      <c r="BF62" s="11">
        <f>BF41</f>
        <v>0</v>
      </c>
      <c r="BG62" s="11">
        <f>BG41</f>
        <v>0</v>
      </c>
      <c r="BH62" s="11">
        <f>BH41</f>
        <v>0</v>
      </c>
      <c r="BI62" s="61">
        <f t="shared" si="137"/>
        <v>0</v>
      </c>
      <c r="BJ62" s="11">
        <f>BJ41</f>
        <v>0</v>
      </c>
      <c r="BK62" s="11">
        <f>BK41</f>
        <v>0</v>
      </c>
      <c r="BL62" s="11">
        <f>BL41</f>
        <v>0</v>
      </c>
      <c r="BM62" s="11">
        <f>BM41</f>
        <v>0</v>
      </c>
      <c r="BN62" s="61">
        <f t="shared" si="141"/>
        <v>0</v>
      </c>
      <c r="BO62" s="11">
        <f>BO41</f>
        <v>0</v>
      </c>
      <c r="BP62" s="11">
        <f>BP41</f>
        <v>0</v>
      </c>
      <c r="BQ62" s="11">
        <f>BQ41</f>
        <v>0</v>
      </c>
      <c r="BR62" s="11">
        <f>BR41</f>
        <v>0</v>
      </c>
      <c r="BS62" s="61">
        <f t="shared" si="144"/>
        <v>0</v>
      </c>
      <c r="BT62" s="11">
        <f>BT41</f>
        <v>0</v>
      </c>
      <c r="BU62" s="11">
        <f>BU41</f>
        <v>0</v>
      </c>
      <c r="BV62" s="11">
        <f>BV41</f>
        <v>0</v>
      </c>
      <c r="BW62" s="11">
        <f>BW41</f>
        <v>0</v>
      </c>
      <c r="BX62" s="61">
        <f t="shared" si="146"/>
        <v>0</v>
      </c>
      <c r="BY62" s="11">
        <f>BY41</f>
        <v>0</v>
      </c>
      <c r="BZ62" s="11">
        <f>BZ41</f>
        <v>0</v>
      </c>
      <c r="CA62" s="11">
        <f>CA41</f>
        <v>0</v>
      </c>
      <c r="CB62" s="11">
        <f>CB41</f>
        <v>0</v>
      </c>
      <c r="CC62" s="61">
        <f t="shared" si="149"/>
        <v>0</v>
      </c>
      <c r="CD62" s="11">
        <f>CD41</f>
        <v>0</v>
      </c>
      <c r="CE62" s="11">
        <f>CE41</f>
        <v>0</v>
      </c>
      <c r="CF62" s="11">
        <f>CF41</f>
        <v>0</v>
      </c>
      <c r="CG62" s="11">
        <f>CG41</f>
        <v>0</v>
      </c>
      <c r="CH62" s="61">
        <f t="shared" si="152"/>
        <v>0</v>
      </c>
      <c r="CI62" s="11">
        <f>CI41</f>
        <v>0</v>
      </c>
      <c r="CJ62" s="11">
        <f>CJ41</f>
        <v>0</v>
      </c>
      <c r="CK62" s="11">
        <f>CK41</f>
        <v>0</v>
      </c>
      <c r="CL62" s="11">
        <f>CL41</f>
        <v>0</v>
      </c>
      <c r="CM62" s="61">
        <f t="shared" si="154"/>
        <v>0</v>
      </c>
      <c r="CN62" s="11">
        <f>CN41</f>
        <v>0</v>
      </c>
      <c r="CO62" s="11">
        <f>CO41</f>
        <v>0</v>
      </c>
      <c r="CP62" s="11">
        <f>CP41</f>
        <v>0</v>
      </c>
      <c r="CQ62" s="11">
        <f>CQ41</f>
        <v>0</v>
      </c>
      <c r="CR62" s="61">
        <f t="shared" si="157"/>
        <v>0</v>
      </c>
    </row>
    <row r="63" spans="1:96" ht="11.15" customHeight="1" x14ac:dyDescent="0.2">
      <c r="A63" s="7" t="s">
        <v>59</v>
      </c>
      <c r="B63" s="11"/>
      <c r="C63" s="11">
        <f>C53</f>
        <v>61915</v>
      </c>
      <c r="D63" s="11">
        <f>D53</f>
        <v>68347</v>
      </c>
      <c r="E63" s="11">
        <f>E53</f>
        <v>161421</v>
      </c>
      <c r="F63" s="61">
        <f t="shared" si="113"/>
        <v>161421</v>
      </c>
      <c r="G63" s="11">
        <f>G53</f>
        <v>169222</v>
      </c>
      <c r="H63" s="11">
        <f>H53</f>
        <v>177340</v>
      </c>
      <c r="I63" s="11">
        <f>I53</f>
        <v>191603</v>
      </c>
      <c r="J63" s="11">
        <f>J53</f>
        <v>204635</v>
      </c>
      <c r="K63" s="61">
        <f t="shared" si="116"/>
        <v>204635</v>
      </c>
      <c r="L63" s="11">
        <f>L53</f>
        <v>220202</v>
      </c>
      <c r="M63" s="11">
        <f>M53</f>
        <v>230752</v>
      </c>
      <c r="N63" s="11">
        <f>N53</f>
        <v>233315</v>
      </c>
      <c r="O63" s="11">
        <f>O53</f>
        <v>243299</v>
      </c>
      <c r="P63" s="61">
        <f t="shared" si="118"/>
        <v>243299</v>
      </c>
      <c r="Q63" s="11">
        <f>Q53</f>
        <v>237737</v>
      </c>
      <c r="R63" s="11">
        <f>R53</f>
        <v>244224</v>
      </c>
      <c r="S63" s="11">
        <f>S53</f>
        <v>253203</v>
      </c>
      <c r="T63" s="11">
        <f>T53</f>
        <v>256571</v>
      </c>
      <c r="U63" s="61">
        <f t="shared" si="120"/>
        <v>256571</v>
      </c>
      <c r="V63" s="11">
        <f>V53</f>
        <v>252452</v>
      </c>
      <c r="W63" s="11">
        <f>W53</f>
        <v>252323</v>
      </c>
      <c r="X63" s="11">
        <f>X53</f>
        <v>285452</v>
      </c>
      <c r="Y63" s="11">
        <f>Y53</f>
        <v>316803</v>
      </c>
      <c r="Z63" s="61">
        <f t="shared" si="122"/>
        <v>316803</v>
      </c>
      <c r="AA63" s="11">
        <f>AA53</f>
        <v>360449</v>
      </c>
      <c r="AB63" s="11">
        <f>AB53</f>
        <v>402404</v>
      </c>
      <c r="AC63" s="11">
        <f>AC53</f>
        <v>418963</v>
      </c>
      <c r="AD63" s="11">
        <f>AD53</f>
        <v>443610</v>
      </c>
      <c r="AE63" s="61">
        <f t="shared" si="124"/>
        <v>443610</v>
      </c>
      <c r="AF63" s="11">
        <f>AF53</f>
        <v>658366</v>
      </c>
      <c r="AG63" s="11">
        <f>AG53</f>
        <v>669731</v>
      </c>
      <c r="AH63" s="11">
        <f>AH53</f>
        <v>729572</v>
      </c>
      <c r="AI63" s="11">
        <f>AI53</f>
        <v>742927</v>
      </c>
      <c r="AJ63" s="61">
        <f t="shared" si="126"/>
        <v>742927</v>
      </c>
      <c r="AK63" s="11">
        <f>AK53</f>
        <v>773225</v>
      </c>
      <c r="AL63" s="11">
        <f>AL53</f>
        <v>815967</v>
      </c>
      <c r="AM63" s="11">
        <f>AM53</f>
        <v>875687</v>
      </c>
      <c r="AN63" s="11">
        <f>AN53</f>
        <v>927969</v>
      </c>
      <c r="AO63" s="61">
        <f t="shared" si="128"/>
        <v>927969</v>
      </c>
      <c r="AP63" s="11">
        <f>AP53</f>
        <v>961316</v>
      </c>
      <c r="AQ63" s="11">
        <f>AQ53</f>
        <v>1023860</v>
      </c>
      <c r="AR63" s="11">
        <f>AR53</f>
        <v>1036703</v>
      </c>
      <c r="AS63" s="11">
        <f>AS53</f>
        <v>1046561</v>
      </c>
      <c r="AT63" s="61">
        <f t="shared" si="130"/>
        <v>1046561</v>
      </c>
      <c r="AU63" s="11">
        <f>AU53</f>
        <v>1080519</v>
      </c>
      <c r="AV63" s="11">
        <f>AV53</f>
        <v>1163755</v>
      </c>
      <c r="AW63" s="11">
        <f>AW53</f>
        <v>1215886</v>
      </c>
      <c r="AX63" s="11">
        <f>AX53</f>
        <v>1260665</v>
      </c>
      <c r="AY63" s="61">
        <f t="shared" si="132"/>
        <v>1260665</v>
      </c>
      <c r="AZ63" s="11">
        <f>AZ53</f>
        <v>1346998</v>
      </c>
      <c r="BA63" s="11">
        <f>BA53</f>
        <v>1423163</v>
      </c>
      <c r="BB63" s="11">
        <f>BB53</f>
        <v>1503016</v>
      </c>
      <c r="BC63" s="11">
        <f>BC53</f>
        <v>1557724</v>
      </c>
      <c r="BD63" s="61">
        <f t="shared" si="134"/>
        <v>1557724</v>
      </c>
      <c r="BE63" s="11">
        <f>BE53</f>
        <v>1666272</v>
      </c>
      <c r="BF63" s="11">
        <f>BF53</f>
        <v>1804357</v>
      </c>
      <c r="BG63" s="11">
        <f>BG53</f>
        <v>1959099</v>
      </c>
      <c r="BH63" s="11">
        <f>BH53</f>
        <v>2022322</v>
      </c>
      <c r="BI63" s="61">
        <f t="shared" si="137"/>
        <v>2022322</v>
      </c>
      <c r="BJ63" s="11">
        <f>BJ53</f>
        <v>2145369</v>
      </c>
      <c r="BK63" s="11">
        <f>BK53</f>
        <v>2172157</v>
      </c>
      <c r="BL63" s="11">
        <f>BL53</f>
        <v>2206808</v>
      </c>
      <c r="BM63" s="11">
        <f>BM53</f>
        <v>2206234</v>
      </c>
      <c r="BN63" s="61">
        <f t="shared" si="141"/>
        <v>2206234</v>
      </c>
      <c r="BO63" s="11">
        <f>BO53</f>
        <v>2268288</v>
      </c>
      <c r="BP63" s="11">
        <f>BP53</f>
        <v>2367361</v>
      </c>
      <c r="BQ63" s="11">
        <f>BQ53</f>
        <v>2380660</v>
      </c>
      <c r="BR63" s="11">
        <f>BR53</f>
        <v>2402443</v>
      </c>
      <c r="BS63" s="61">
        <f t="shared" si="144"/>
        <v>2402443</v>
      </c>
      <c r="BT63" s="11">
        <f>BT53</f>
        <v>2355930</v>
      </c>
      <c r="BU63" s="11">
        <f>BU53</f>
        <v>2437306</v>
      </c>
      <c r="BV63" s="11">
        <f>BV53</f>
        <v>2471074</v>
      </c>
      <c r="BW63" s="11">
        <f>BW53</f>
        <v>2594111</v>
      </c>
      <c r="BX63" s="61">
        <f t="shared" si="146"/>
        <v>2594111</v>
      </c>
      <c r="BY63" s="11">
        <f>BY53</f>
        <v>2640670</v>
      </c>
      <c r="BZ63" s="11">
        <f>BZ53</f>
        <v>2706280</v>
      </c>
      <c r="CA63" s="11">
        <f>CA53</f>
        <v>2739845</v>
      </c>
      <c r="CB63" s="11">
        <f>CB53</f>
        <v>2747221</v>
      </c>
      <c r="CC63" s="61">
        <f t="shared" si="149"/>
        <v>2747221</v>
      </c>
      <c r="CD63" s="11">
        <f>CD53</f>
        <v>2708249</v>
      </c>
      <c r="CE63" s="11">
        <f>CE53</f>
        <v>2640351</v>
      </c>
      <c r="CF63" s="11">
        <f>CF53</f>
        <v>2580509</v>
      </c>
      <c r="CG63" s="11">
        <f>CG53</f>
        <v>2385360</v>
      </c>
      <c r="CH63" s="61">
        <f t="shared" si="152"/>
        <v>2385360</v>
      </c>
      <c r="CI63" s="11">
        <f>CI53</f>
        <v>2338525</v>
      </c>
      <c r="CJ63" s="11">
        <f>CJ53</f>
        <v>2398550</v>
      </c>
      <c r="CK63" s="11">
        <f>CK53</f>
        <v>2383951</v>
      </c>
      <c r="CL63" s="11">
        <f>CL53</f>
        <v>2415385</v>
      </c>
      <c r="CM63" s="61">
        <f t="shared" si="154"/>
        <v>2415385</v>
      </c>
      <c r="CN63" s="11">
        <f>CN53</f>
        <v>2340720</v>
      </c>
      <c r="CO63" s="11">
        <f>CO53</f>
        <v>2253370</v>
      </c>
      <c r="CP63" s="11">
        <f>CP53</f>
        <v>0</v>
      </c>
      <c r="CQ63" s="11">
        <f>CQ53</f>
        <v>0</v>
      </c>
      <c r="CR63" s="61">
        <f t="shared" si="157"/>
        <v>0</v>
      </c>
    </row>
    <row r="64" spans="1:96" ht="11.15" customHeight="1" x14ac:dyDescent="0.2">
      <c r="A64" s="6" t="s">
        <v>144</v>
      </c>
      <c r="B64" s="12"/>
      <c r="C64" s="12">
        <f>SUM(C58:C63)</f>
        <v>114057</v>
      </c>
      <c r="D64" s="12">
        <f>SUM(D58:D63)</f>
        <v>118384</v>
      </c>
      <c r="E64" s="12">
        <f>SUM(E58:E63)</f>
        <v>202391</v>
      </c>
      <c r="F64" s="60">
        <f t="shared" si="113"/>
        <v>202391</v>
      </c>
      <c r="G64" s="12">
        <f>SUM(G58:G63)</f>
        <v>190070</v>
      </c>
      <c r="H64" s="12">
        <f>SUM(H58:H63)</f>
        <v>208072</v>
      </c>
      <c r="I64" s="12">
        <f>SUM(I58:I63)</f>
        <v>227169</v>
      </c>
      <c r="J64" s="12">
        <f>SUM(J58:J63)</f>
        <v>235853</v>
      </c>
      <c r="K64" s="60">
        <f t="shared" si="116"/>
        <v>235853</v>
      </c>
      <c r="L64" s="12">
        <f>SUM(L58:L63)</f>
        <v>255538</v>
      </c>
      <c r="M64" s="12">
        <f>SUM(M58:M63)</f>
        <v>270645</v>
      </c>
      <c r="N64" s="12">
        <f>SUM(N58:N63)</f>
        <v>269005</v>
      </c>
      <c r="O64" s="12">
        <f>SUM(O58:O63)</f>
        <v>282398</v>
      </c>
      <c r="P64" s="60">
        <f t="shared" si="118"/>
        <v>282398</v>
      </c>
      <c r="Q64" s="12">
        <f>SUM(Q58:Q63)</f>
        <v>286479</v>
      </c>
      <c r="R64" s="12">
        <f>SUM(R58:R63)</f>
        <v>294292</v>
      </c>
      <c r="S64" s="12">
        <f>SUM(S58:S63)</f>
        <v>287012</v>
      </c>
      <c r="T64" s="12">
        <f>SUM(T58:T63)</f>
        <v>280578</v>
      </c>
      <c r="U64" s="60">
        <f t="shared" si="120"/>
        <v>280578</v>
      </c>
      <c r="V64" s="12">
        <f>SUM(V58:V63)</f>
        <v>277216</v>
      </c>
      <c r="W64" s="12">
        <f>SUM(W58:W63)</f>
        <v>276605</v>
      </c>
      <c r="X64" s="12">
        <f>SUM(X58:X63)</f>
        <v>308479</v>
      </c>
      <c r="Y64" s="12">
        <f>SUM(Y58:Y63)</f>
        <v>366209</v>
      </c>
      <c r="Z64" s="60">
        <f t="shared" si="122"/>
        <v>366209</v>
      </c>
      <c r="AA64" s="12">
        <f>SUM(AA58:AA63)</f>
        <v>412541</v>
      </c>
      <c r="AB64" s="12">
        <f>SUM(AB58:AB63)</f>
        <v>475730</v>
      </c>
      <c r="AC64" s="12">
        <f>SUM(AC58:AC63)</f>
        <v>491215</v>
      </c>
      <c r="AD64" s="12">
        <f>SUM(AD58:AD63)</f>
        <v>515128</v>
      </c>
      <c r="AE64" s="60">
        <f t="shared" si="124"/>
        <v>515128</v>
      </c>
      <c r="AF64" s="12">
        <f>SUM(AF58:AF63)</f>
        <v>733709</v>
      </c>
      <c r="AG64" s="12">
        <f>SUM(AG58:AG63)</f>
        <v>690616</v>
      </c>
      <c r="AH64" s="12">
        <f>SUM(AH58:AH63)</f>
        <v>752829</v>
      </c>
      <c r="AI64" s="12">
        <f>SUM(AI58:AI63)</f>
        <v>763911</v>
      </c>
      <c r="AJ64" s="60">
        <f t="shared" si="126"/>
        <v>763911</v>
      </c>
      <c r="AK64" s="12">
        <f>SUM(AK58:AK63)</f>
        <v>800097</v>
      </c>
      <c r="AL64" s="12">
        <f>SUM(AL58:AL63)</f>
        <v>831681</v>
      </c>
      <c r="AM64" s="12">
        <f>SUM(AM58:AM63)</f>
        <v>890609</v>
      </c>
      <c r="AN64" s="12">
        <f>SUM(AN58:AN63)</f>
        <v>944306</v>
      </c>
      <c r="AO64" s="60">
        <f t="shared" si="128"/>
        <v>944306</v>
      </c>
      <c r="AP64" s="12">
        <f>SUM(AP58:AP63)</f>
        <v>976315</v>
      </c>
      <c r="AQ64" s="12">
        <f>SUM(AQ58:AQ63)</f>
        <v>1038941</v>
      </c>
      <c r="AR64" s="12">
        <f>SUM(AR58:AR63)</f>
        <v>1050744</v>
      </c>
      <c r="AS64" s="12">
        <f>SUM(AS58:AS63)</f>
        <v>1082290</v>
      </c>
      <c r="AT64" s="60">
        <f t="shared" si="130"/>
        <v>1082290</v>
      </c>
      <c r="AU64" s="12">
        <f>SUM(AU58:AU63)</f>
        <v>1113292</v>
      </c>
      <c r="AV64" s="12">
        <f>SUM(AV58:AV63)</f>
        <v>1186102</v>
      </c>
      <c r="AW64" s="12">
        <f>SUM(AW58:AW63)</f>
        <v>1236370</v>
      </c>
      <c r="AX64" s="12">
        <f>SUM(AX58:AX63)</f>
        <v>1280352</v>
      </c>
      <c r="AY64" s="60">
        <f t="shared" si="132"/>
        <v>1280352</v>
      </c>
      <c r="AZ64" s="12">
        <f>SUM(AZ58:AZ63)</f>
        <v>1366186</v>
      </c>
      <c r="BA64" s="12">
        <f>SUM(BA58:BA63)</f>
        <v>1465600</v>
      </c>
      <c r="BB64" s="12">
        <f>SUM(BB58:BB63)</f>
        <v>1544657</v>
      </c>
      <c r="BC64" s="12">
        <f>SUM(BC58:BC63)</f>
        <v>1598547</v>
      </c>
      <c r="BD64" s="60">
        <f t="shared" si="134"/>
        <v>1598547</v>
      </c>
      <c r="BE64" s="12">
        <f>SUM(BE58:BE63)</f>
        <v>1706299</v>
      </c>
      <c r="BF64" s="12">
        <f>SUM(BF58:BF63)</f>
        <v>1826920</v>
      </c>
      <c r="BG64" s="12">
        <f>SUM(BG58:BG63)</f>
        <v>2008971</v>
      </c>
      <c r="BH64" s="12">
        <f>SUM(BH58:BH63)</f>
        <v>2071304</v>
      </c>
      <c r="BI64" s="60">
        <f t="shared" si="137"/>
        <v>2071304</v>
      </c>
      <c r="BJ64" s="12">
        <f>SUM(BJ58:BJ63)</f>
        <v>2193456</v>
      </c>
      <c r="BK64" s="12">
        <f>SUM(BK58:BK63)</f>
        <v>2219345</v>
      </c>
      <c r="BL64" s="12">
        <f>SUM(BL58:BL63)</f>
        <v>2253093</v>
      </c>
      <c r="BM64" s="12">
        <f>SUM(BM58:BM63)</f>
        <v>2251612</v>
      </c>
      <c r="BN64" s="60">
        <f t="shared" si="141"/>
        <v>2251612</v>
      </c>
      <c r="BO64" s="12">
        <f>SUM(BO58:BO63)</f>
        <v>2312755</v>
      </c>
      <c r="BP64" s="12">
        <f>SUM(BP58:BP63)</f>
        <v>2410912</v>
      </c>
      <c r="BQ64" s="12">
        <f>SUM(BQ58:BQ63)</f>
        <v>2423291</v>
      </c>
      <c r="BR64" s="12">
        <f>SUM(BR58:BR63)</f>
        <v>2444151</v>
      </c>
      <c r="BS64" s="60">
        <f t="shared" si="144"/>
        <v>2444151</v>
      </c>
      <c r="BT64" s="12">
        <f>SUM(BT58:BT63)</f>
        <v>2396709</v>
      </c>
      <c r="BU64" s="12">
        <f>SUM(BU58:BU63)</f>
        <v>2477152</v>
      </c>
      <c r="BV64" s="12">
        <f>SUM(BV58:BV63)</f>
        <v>2509983</v>
      </c>
      <c r="BW64" s="12">
        <f>SUM(BW58:BW63)</f>
        <v>2634041</v>
      </c>
      <c r="BX64" s="60">
        <f t="shared" si="146"/>
        <v>2634041</v>
      </c>
      <c r="BY64" s="12">
        <f>SUM(BY58:BY63)</f>
        <v>2679034</v>
      </c>
      <c r="BZ64" s="12">
        <f>SUM(BZ58:BZ63)</f>
        <v>2743880</v>
      </c>
      <c r="CA64" s="12">
        <f>SUM(CA58:CA63)</f>
        <v>2776367</v>
      </c>
      <c r="CB64" s="12">
        <f>SUM(CB58:CB63)</f>
        <v>2782749</v>
      </c>
      <c r="CC64" s="60">
        <f t="shared" si="149"/>
        <v>2782749</v>
      </c>
      <c r="CD64" s="12">
        <f>SUM(CD58:CD63)</f>
        <v>2743057</v>
      </c>
      <c r="CE64" s="12">
        <f>SUM(CE58:CE63)</f>
        <v>2674036</v>
      </c>
      <c r="CF64" s="12">
        <f>SUM(CF58:CF63)</f>
        <v>2596837</v>
      </c>
      <c r="CG64" s="12">
        <f>SUM(CG58:CG63)</f>
        <v>2401391</v>
      </c>
      <c r="CH64" s="60">
        <f>CG64</f>
        <v>2401391</v>
      </c>
      <c r="CI64" s="12">
        <f>SUM(CI58:CI63)</f>
        <v>2354259</v>
      </c>
      <c r="CJ64" s="12">
        <f>SUM(CJ58:CJ63)</f>
        <v>2398550</v>
      </c>
      <c r="CK64" s="12">
        <f>SUM(CK58:CK63)</f>
        <v>2383951</v>
      </c>
      <c r="CL64" s="12">
        <f>SUM(CL58:CL63)</f>
        <v>2415385</v>
      </c>
      <c r="CM64" s="60">
        <f>CL64</f>
        <v>2415385</v>
      </c>
      <c r="CN64" s="12">
        <f>SUM(CN58:CN63)</f>
        <v>2340720</v>
      </c>
      <c r="CO64" s="12">
        <f>SUM(CO58:CO63)</f>
        <v>2253370</v>
      </c>
      <c r="CP64" s="12">
        <f>SUM(CP58:CP63)</f>
        <v>0</v>
      </c>
      <c r="CQ64" s="12">
        <f>SUM(CQ58:CQ63)</f>
        <v>0</v>
      </c>
      <c r="CR64" s="60">
        <f>CQ64</f>
        <v>0</v>
      </c>
    </row>
    <row r="65" spans="1:96" ht="11.15" customHeight="1" x14ac:dyDescent="0.2">
      <c r="A65" s="6" t="s">
        <v>210</v>
      </c>
      <c r="B65" s="12"/>
      <c r="C65" s="12">
        <f>C64-C7-C8</f>
        <v>102775</v>
      </c>
      <c r="D65" s="12">
        <f>D64-D7-D8</f>
        <v>107027</v>
      </c>
      <c r="E65" s="12">
        <f>E64-E7-E8</f>
        <v>126724</v>
      </c>
      <c r="F65" s="60">
        <f t="shared" si="113"/>
        <v>126724</v>
      </c>
      <c r="G65" s="12">
        <f>G64-G7-G8</f>
        <v>140941</v>
      </c>
      <c r="H65" s="12">
        <f>H64-H7-H8</f>
        <v>161363</v>
      </c>
      <c r="I65" s="12">
        <f>I64-I7-I8</f>
        <v>182419</v>
      </c>
      <c r="J65" s="12">
        <f>J64-J7-J8</f>
        <v>190931</v>
      </c>
      <c r="K65" s="60">
        <f t="shared" si="116"/>
        <v>190931</v>
      </c>
      <c r="L65" s="12">
        <f>L64-L7-L8</f>
        <v>215840</v>
      </c>
      <c r="M65" s="12">
        <f>M64-M7-M8</f>
        <v>225719</v>
      </c>
      <c r="N65" s="12">
        <f>N64-N7-N8</f>
        <v>224666</v>
      </c>
      <c r="O65" s="12">
        <f>O64-O7-O8</f>
        <v>231115</v>
      </c>
      <c r="P65" s="60">
        <f t="shared" si="118"/>
        <v>231115</v>
      </c>
      <c r="Q65" s="12">
        <f>Q64-Q7-Q8</f>
        <v>214878</v>
      </c>
      <c r="R65" s="12">
        <f>R64-R7-R8</f>
        <v>216224</v>
      </c>
      <c r="S65" s="12">
        <f>S64-S7-S8</f>
        <v>210703</v>
      </c>
      <c r="T65" s="12">
        <f>T64-T7-T8</f>
        <v>197658</v>
      </c>
      <c r="U65" s="60">
        <f t="shared" si="120"/>
        <v>197658</v>
      </c>
      <c r="V65" s="12">
        <f>V64-V7-V8</f>
        <v>192809</v>
      </c>
      <c r="W65" s="12">
        <f>W64-W7-W8</f>
        <v>185950</v>
      </c>
      <c r="X65" s="12">
        <f>X64-X7-X8</f>
        <v>211849</v>
      </c>
      <c r="Y65" s="12">
        <f>Y64-Y7-Y8</f>
        <v>218349</v>
      </c>
      <c r="Z65" s="60">
        <f t="shared" si="122"/>
        <v>218349</v>
      </c>
      <c r="AA65" s="12">
        <f>AA64-AA7-AA8</f>
        <v>251923</v>
      </c>
      <c r="AB65" s="12">
        <f>AB64-AB7-AB8</f>
        <v>287534</v>
      </c>
      <c r="AC65" s="12">
        <f>AC64-AC7-AC8</f>
        <v>294629</v>
      </c>
      <c r="AD65" s="12">
        <f>AD64-AD7-AD8</f>
        <v>309443</v>
      </c>
      <c r="AE65" s="60">
        <f t="shared" si="124"/>
        <v>309443</v>
      </c>
      <c r="AF65" s="12">
        <f>AF64-AF7-AF8</f>
        <v>338187</v>
      </c>
      <c r="AG65" s="12">
        <f>AG64-AG7-AG8</f>
        <v>335273</v>
      </c>
      <c r="AH65" s="12">
        <f>AH64-AH7-AH8</f>
        <v>380260</v>
      </c>
      <c r="AI65" s="12">
        <f>AI64-AI7-AI8</f>
        <v>379858</v>
      </c>
      <c r="AJ65" s="60">
        <f t="shared" si="126"/>
        <v>379858</v>
      </c>
      <c r="AK65" s="12">
        <f>AK64-AK7-AK8</f>
        <v>444382</v>
      </c>
      <c r="AL65" s="12">
        <f>AL64-AL7-AL8</f>
        <v>462197</v>
      </c>
      <c r="AM65" s="12">
        <f>AM64-AM7-AM8</f>
        <v>492254</v>
      </c>
      <c r="AN65" s="12">
        <f>AN64-AN7-AN8</f>
        <v>495530</v>
      </c>
      <c r="AO65" s="60">
        <f t="shared" si="128"/>
        <v>495530</v>
      </c>
      <c r="AP65" s="12">
        <f>AP64-AP7-AP8</f>
        <v>495706</v>
      </c>
      <c r="AQ65" s="12">
        <f>AQ64-AQ7-AQ8</f>
        <v>555509</v>
      </c>
      <c r="AR65" s="12">
        <f>AR64-AR7-AR8</f>
        <v>563226</v>
      </c>
      <c r="AS65" s="12">
        <f>AS64-AS7-AS8</f>
        <v>560140</v>
      </c>
      <c r="AT65" s="60">
        <f t="shared" si="130"/>
        <v>560140</v>
      </c>
      <c r="AU65" s="12">
        <f>AU64-AU7-AU8</f>
        <v>571818</v>
      </c>
      <c r="AV65" s="12">
        <f>AV64-AV7-AV8</f>
        <v>614594</v>
      </c>
      <c r="AW65" s="12">
        <f>AW64-AW7-AW8</f>
        <v>585150</v>
      </c>
      <c r="AX65" s="12">
        <f>AX64-AX7-AX8</f>
        <v>591236</v>
      </c>
      <c r="AY65" s="60">
        <f t="shared" si="132"/>
        <v>591236</v>
      </c>
      <c r="AZ65" s="12">
        <f>AZ64-AZ7-AZ8</f>
        <v>626221</v>
      </c>
      <c r="BA65" s="12">
        <f>BA64-BA7-BA8</f>
        <v>751520</v>
      </c>
      <c r="BB65" s="12">
        <f>BB64-BB7-BB8</f>
        <v>772129</v>
      </c>
      <c r="BC65" s="12">
        <f>BC64-BC7-BC8</f>
        <v>767913</v>
      </c>
      <c r="BD65" s="60">
        <f t="shared" si="134"/>
        <v>767913</v>
      </c>
      <c r="BE65" s="12">
        <f>BE64-BE7-BE8</f>
        <v>843496</v>
      </c>
      <c r="BF65" s="12">
        <f>BF64-BF7-BF8</f>
        <v>896505</v>
      </c>
      <c r="BG65" s="12">
        <f>BG64-BG7-BG8</f>
        <v>963049</v>
      </c>
      <c r="BH65" s="12">
        <f>BH64-BH7-BH8</f>
        <v>955147</v>
      </c>
      <c r="BI65" s="60">
        <f t="shared" si="137"/>
        <v>955147</v>
      </c>
      <c r="BJ65" s="12">
        <f>BJ64-BJ7-BJ8</f>
        <v>1017547</v>
      </c>
      <c r="BK65" s="12">
        <f>BK64-BK7-BK8</f>
        <v>1093583</v>
      </c>
      <c r="BL65" s="12">
        <f>BL64-BL7-BL8</f>
        <v>1131065</v>
      </c>
      <c r="BM65" s="12">
        <f>BM64-BM7-BM8</f>
        <v>1206822</v>
      </c>
      <c r="BN65" s="60">
        <f t="shared" si="141"/>
        <v>1206822</v>
      </c>
      <c r="BO65" s="12">
        <f>BO64-BO7-BO8</f>
        <v>1282678</v>
      </c>
      <c r="BP65" s="12">
        <f>BP64-BP7-BP8</f>
        <v>1368083</v>
      </c>
      <c r="BQ65" s="12">
        <f>BQ64-BQ7-BQ8</f>
        <v>1344454</v>
      </c>
      <c r="BR65" s="12">
        <f>BR64-BR7-BR8</f>
        <v>1261535</v>
      </c>
      <c r="BS65" s="60">
        <f t="shared" si="144"/>
        <v>1261535</v>
      </c>
      <c r="BT65" s="12">
        <f>BT64-BT7-BT8</f>
        <v>1201566</v>
      </c>
      <c r="BU65" s="12">
        <f>BU64-BU7-BU8</f>
        <v>1228253</v>
      </c>
      <c r="BV65" s="12">
        <f>BV64-BV7-BV8</f>
        <v>1208367</v>
      </c>
      <c r="BW65" s="12">
        <f>BW64-BW7-BW8</f>
        <v>1242975</v>
      </c>
      <c r="BX65" s="60">
        <f t="shared" si="146"/>
        <v>1242975</v>
      </c>
      <c r="BY65" s="12">
        <f>BY64-BY7-BY8</f>
        <v>1234097</v>
      </c>
      <c r="BZ65" s="12">
        <f>BZ64-BZ7-BZ8</f>
        <v>1246471</v>
      </c>
      <c r="CA65" s="12">
        <f>CA64-CA7-CA8</f>
        <v>1257360</v>
      </c>
      <c r="CB65" s="12">
        <f>CB64-CB7-CB8</f>
        <v>1268244</v>
      </c>
      <c r="CC65" s="60">
        <f t="shared" si="149"/>
        <v>1268244</v>
      </c>
      <c r="CD65" s="12">
        <f>CD64-CD7-CD8</f>
        <v>1326379</v>
      </c>
      <c r="CE65" s="12">
        <f>CE64-CE7-CE8</f>
        <v>1439383</v>
      </c>
      <c r="CF65" s="12">
        <f>CF64-CF7-CF8</f>
        <v>1362154</v>
      </c>
      <c r="CG65" s="12">
        <f>CG64-CG7-CG8</f>
        <v>1223808</v>
      </c>
      <c r="CH65" s="60">
        <f t="shared" si="152"/>
        <v>1223808</v>
      </c>
      <c r="CI65" s="12">
        <f>CI64-CI7-CI8</f>
        <v>1284649</v>
      </c>
      <c r="CJ65" s="12">
        <f>CJ64-CJ7-CJ8</f>
        <v>1302138</v>
      </c>
      <c r="CK65" s="12">
        <f>CK64-CK7-CK8</f>
        <v>1250460</v>
      </c>
      <c r="CL65" s="12">
        <f>CL64-CL7-CL8</f>
        <v>1237904</v>
      </c>
      <c r="CM65" s="60">
        <f t="shared" si="154"/>
        <v>1237904</v>
      </c>
      <c r="CN65" s="12">
        <f>CN64-CN7-CN8</f>
        <v>1200613</v>
      </c>
      <c r="CO65" s="12">
        <f>CO64-CO7-CO8</f>
        <v>1189467</v>
      </c>
      <c r="CP65" s="12">
        <f>CP64-CP7-CP8</f>
        <v>0</v>
      </c>
      <c r="CQ65" s="12">
        <f>CQ64-CQ7-CQ8</f>
        <v>0</v>
      </c>
      <c r="CR65" s="60">
        <f t="shared" si="157"/>
        <v>0</v>
      </c>
    </row>
    <row r="66" spans="1:96" ht="11.15" customHeight="1" x14ac:dyDescent="0.2">
      <c r="A66" s="6"/>
      <c r="B66" s="11"/>
      <c r="C66" s="11"/>
      <c r="D66" s="11"/>
      <c r="E66" s="11"/>
      <c r="F66" s="61"/>
      <c r="G66" s="11"/>
      <c r="H66" s="11"/>
      <c r="I66" s="11"/>
      <c r="J66" s="11"/>
      <c r="K66" s="61"/>
      <c r="L66" s="11"/>
      <c r="M66" s="11"/>
      <c r="N66" s="11"/>
      <c r="O66" s="11"/>
      <c r="P66" s="61"/>
      <c r="Q66" s="11"/>
      <c r="R66" s="11"/>
      <c r="S66" s="11"/>
      <c r="T66" s="11"/>
      <c r="U66" s="61"/>
      <c r="V66" s="11"/>
      <c r="W66" s="11"/>
      <c r="X66" s="11"/>
      <c r="Y66" s="11"/>
      <c r="Z66" s="61"/>
      <c r="AA66" s="11"/>
      <c r="AB66" s="11"/>
      <c r="AC66" s="11"/>
      <c r="AD66" s="11"/>
      <c r="AE66" s="61"/>
      <c r="AF66" s="11"/>
      <c r="AG66" s="11"/>
      <c r="AH66" s="11"/>
      <c r="AI66" s="11"/>
      <c r="AJ66" s="61"/>
      <c r="AK66" s="11"/>
      <c r="AL66" s="11"/>
      <c r="AM66" s="11"/>
      <c r="AN66" s="11"/>
      <c r="AO66" s="61"/>
      <c r="AP66" s="11"/>
      <c r="AQ66" s="11"/>
      <c r="AR66" s="11"/>
      <c r="AS66" s="11"/>
      <c r="AT66" s="61"/>
      <c r="AU66" s="11"/>
      <c r="AV66" s="11"/>
      <c r="AW66" s="11"/>
      <c r="AX66" s="11"/>
      <c r="AY66" s="61"/>
      <c r="AZ66" s="11"/>
      <c r="BA66" s="11"/>
      <c r="BB66" s="11"/>
      <c r="BC66" s="11"/>
      <c r="BD66" s="61"/>
      <c r="BE66" s="11"/>
      <c r="BF66" s="11"/>
      <c r="BG66" s="11"/>
      <c r="BH66" s="11"/>
      <c r="BI66" s="61"/>
      <c r="BJ66" s="11"/>
      <c r="BK66" s="11"/>
      <c r="BL66" s="11"/>
      <c r="BM66" s="11"/>
      <c r="BN66" s="61"/>
      <c r="BO66" s="93"/>
      <c r="BP66" s="93"/>
      <c r="BQ66" s="93"/>
      <c r="BR66" s="11"/>
      <c r="BS66" s="61"/>
      <c r="BT66" s="93"/>
      <c r="BU66" s="93"/>
      <c r="BV66" s="93"/>
      <c r="BW66" s="11"/>
      <c r="BX66" s="61"/>
      <c r="BY66" s="93"/>
      <c r="BZ66" s="93"/>
      <c r="CA66" s="93"/>
      <c r="CB66" s="93"/>
      <c r="CC66" s="61"/>
      <c r="CD66" s="93"/>
      <c r="CE66" s="93"/>
      <c r="CF66" s="93"/>
      <c r="CG66" s="93"/>
      <c r="CH66" s="61"/>
      <c r="CI66" s="93"/>
      <c r="CJ66" s="93"/>
      <c r="CK66" s="93"/>
      <c r="CL66" s="93"/>
      <c r="CM66" s="61"/>
      <c r="CN66" s="93"/>
      <c r="CO66" s="93"/>
      <c r="CP66" s="93"/>
      <c r="CQ66" s="93"/>
      <c r="CR66" s="61"/>
    </row>
    <row r="67" spans="1:96" ht="11.15" customHeight="1" x14ac:dyDescent="0.2">
      <c r="A67" s="6" t="s">
        <v>191</v>
      </c>
      <c r="B67" s="11"/>
      <c r="C67" s="11">
        <f>C9/('Income Statement'!C5/('Balance Sheet'!C4-'Balance Sheet'!B4))</f>
        <v>51.265256027839918</v>
      </c>
      <c r="D67" s="11">
        <f>D9/('Income Statement'!D5/('Balance Sheet'!D4-'Balance Sheet'!C4))</f>
        <v>57.076544846827431</v>
      </c>
      <c r="E67" s="11">
        <f>E9/('Income Statement'!E5/('Balance Sheet'!E4-'Balance Sheet'!D4))</f>
        <v>48.850891987552558</v>
      </c>
      <c r="F67" s="61"/>
      <c r="G67" s="11">
        <f>G9/('Income Statement'!G5/('Balance Sheet'!G4-'Balance Sheet'!F4))</f>
        <v>52.623045050655044</v>
      </c>
      <c r="H67" s="11">
        <f>H9/('Income Statement'!H5/('Balance Sheet'!H4-'Balance Sheet'!G4))</f>
        <v>55.334592282489993</v>
      </c>
      <c r="I67" s="11">
        <f>I9/('Income Statement'!I5/('Balance Sheet'!I4-'Balance Sheet'!H4))</f>
        <v>63.90740006262395</v>
      </c>
      <c r="J67" s="11">
        <f>J9/('Income Statement'!J5/('Balance Sheet'!J4-'Balance Sheet'!I4))</f>
        <v>56.713312873408753</v>
      </c>
      <c r="K67" s="61"/>
      <c r="L67" s="11">
        <f>L9/('Income Statement'!L5/('Balance Sheet'!L4-'Balance Sheet'!K4))</f>
        <v>64.140233754444367</v>
      </c>
      <c r="M67" s="11">
        <f>M9/('Income Statement'!M5/('Balance Sheet'!M4-'Balance Sheet'!L4))</f>
        <v>61.345447726542126</v>
      </c>
      <c r="N67" s="11">
        <f>N9/('Income Statement'!N5/('Balance Sheet'!N4-'Balance Sheet'!M4))</f>
        <v>58.606011739663288</v>
      </c>
      <c r="O67" s="11">
        <f>O9/('Income Statement'!O5/('Balance Sheet'!O4-'Balance Sheet'!N4))</f>
        <v>66.14881259236347</v>
      </c>
      <c r="P67" s="61"/>
      <c r="Q67" s="11">
        <f>Q9/('Income Statement'!Q5/('Balance Sheet'!Q4-'Balance Sheet'!P4))</f>
        <v>58.945560253699789</v>
      </c>
      <c r="R67" s="11">
        <f>R9/('Income Statement'!R5/('Balance Sheet'!R4-'Balance Sheet'!Q4))</f>
        <v>72.119499814287479</v>
      </c>
      <c r="S67" s="11">
        <f>S9/('Income Statement'!S5/('Balance Sheet'!S4-'Balance Sheet'!R4))</f>
        <v>59.785539643730353</v>
      </c>
      <c r="T67" s="11">
        <f>T9/('Income Statement'!T5/('Balance Sheet'!T4-'Balance Sheet'!S4))</f>
        <v>51.438527987033318</v>
      </c>
      <c r="U67" s="61"/>
      <c r="V67" s="11">
        <f>V9/('Income Statement'!V5/('Balance Sheet'!V4-'Balance Sheet'!U4))</f>
        <v>52.86735411295993</v>
      </c>
      <c r="W67" s="11">
        <f>W9/('Income Statement'!W5/('Balance Sheet'!W4-'Balance Sheet'!V4))</f>
        <v>53.994127092687854</v>
      </c>
      <c r="X67" s="11">
        <f>X9/('Income Statement'!X5/('Balance Sheet'!X4-'Balance Sheet'!W4))</f>
        <v>61.925847962009293</v>
      </c>
      <c r="Y67" s="11">
        <f>Y9/('Income Statement'!Y5/('Balance Sheet'!Y4-'Balance Sheet'!X4))</f>
        <v>50.469950982819235</v>
      </c>
      <c r="Z67" s="61"/>
      <c r="AA67" s="11">
        <f>AA9/('Income Statement'!AA5/('Balance Sheet'!AA4-'Balance Sheet'!Z4))</f>
        <v>52.19492186718422</v>
      </c>
      <c r="AB67" s="11">
        <f>AB9/('Income Statement'!AB5/('Balance Sheet'!AB4-'Balance Sheet'!AA4))</f>
        <v>54.69134628001575</v>
      </c>
      <c r="AC67" s="11">
        <f>AC9/('Income Statement'!AC5/('Balance Sheet'!AC4-'Balance Sheet'!AB4))</f>
        <v>57.283301307878261</v>
      </c>
      <c r="AD67" s="11">
        <f>AD9/('Income Statement'!AD5/('Balance Sheet'!AD4-'Balance Sheet'!AC4))</f>
        <v>56.421909912243777</v>
      </c>
      <c r="AE67" s="61"/>
      <c r="AF67" s="11">
        <f>AF9/('Income Statement'!AF5/('Balance Sheet'!AF4-'Balance Sheet'!AE4))</f>
        <v>65.318900577959596</v>
      </c>
      <c r="AG67" s="11">
        <f>AG9/('Income Statement'!AG5/('Balance Sheet'!AG4-'Balance Sheet'!AF4))</f>
        <v>56.827249197039009</v>
      </c>
      <c r="AH67" s="11">
        <f>AH9/('Income Statement'!AH5/('Balance Sheet'!AH4-'Balance Sheet'!AG4))</f>
        <v>65.09638762237897</v>
      </c>
      <c r="AI67" s="11">
        <f>AI9/('Income Statement'!AI5/('Balance Sheet'!AI4-'Balance Sheet'!AH4))</f>
        <v>61.297386747569476</v>
      </c>
      <c r="AJ67" s="61"/>
      <c r="AK67" s="11">
        <f>AK9/('Income Statement'!AK5/('Balance Sheet'!AK4-'Balance Sheet'!AJ4))</f>
        <v>65.218467134760175</v>
      </c>
      <c r="AL67" s="11">
        <f>AL9/('Income Statement'!AL5/('Balance Sheet'!AL4-'Balance Sheet'!AK4))</f>
        <v>61.956686943646645</v>
      </c>
      <c r="AM67" s="11">
        <f>AM9/('Income Statement'!AM5/('Balance Sheet'!AM4-'Balance Sheet'!AL4))</f>
        <v>64.471397369766251</v>
      </c>
      <c r="AN67" s="11">
        <f>AN9/('Income Statement'!AN5/('Balance Sheet'!AN4-'Balance Sheet'!AM4))</f>
        <v>57.578280346559431</v>
      </c>
      <c r="AO67" s="61"/>
      <c r="AP67" s="11">
        <f>AP9/('Income Statement'!AP5/('Balance Sheet'!AP4-'Balance Sheet'!AO4))</f>
        <v>56.771625384728125</v>
      </c>
      <c r="AQ67" s="11">
        <f>AQ9/('Income Statement'!AQ5/('Balance Sheet'!AQ4-'Balance Sheet'!AP4))</f>
        <v>58.776633160600198</v>
      </c>
      <c r="AR67" s="11">
        <f>AR9/('Income Statement'!AR5/('Balance Sheet'!AR4-'Balance Sheet'!AQ4))</f>
        <v>62.959203810649576</v>
      </c>
      <c r="AS67" s="11">
        <f>AS9/('Income Statement'!AS5/('Balance Sheet'!AS4-'Balance Sheet'!AR4))</f>
        <v>63.480718604449322</v>
      </c>
      <c r="AT67" s="61"/>
      <c r="AU67" s="11">
        <f>AU9/('Income Statement'!AU5/('Balance Sheet'!AU4-'Balance Sheet'!AT4))</f>
        <v>67.753769601930045</v>
      </c>
      <c r="AV67" s="11">
        <f>AV9/('Income Statement'!AV5/('Balance Sheet'!AV4-'Balance Sheet'!AU4))</f>
        <v>65.724587263649425</v>
      </c>
      <c r="AW67" s="11">
        <f>AW9/('Income Statement'!AW5/('Balance Sheet'!AW4-'Balance Sheet'!AV4))</f>
        <v>58.482506025679456</v>
      </c>
      <c r="AX67" s="11">
        <f>AX9/('Income Statement'!AX5/('Balance Sheet'!AX4-'Balance Sheet'!AW4))</f>
        <v>61.907237977694898</v>
      </c>
      <c r="AY67" s="61"/>
      <c r="AZ67" s="11">
        <f>AZ9/('Income Statement'!AZ5/('Balance Sheet'!AZ4-'Balance Sheet'!AY4))</f>
        <v>64.328509804678461</v>
      </c>
      <c r="BA67" s="11">
        <f>BA9/('Income Statement'!BA5/('Balance Sheet'!BA4-'Balance Sheet'!AZ4))</f>
        <v>54.529370576809725</v>
      </c>
      <c r="BB67" s="11">
        <f>BB9/('Income Statement'!BB5/('Balance Sheet'!BB4-'Balance Sheet'!BA4))</f>
        <v>56.277230402568257</v>
      </c>
      <c r="BC67" s="11">
        <f>BC9/('Income Statement'!BC5/('Balance Sheet'!BC4-'Balance Sheet'!BB4))</f>
        <v>51.202487496474738</v>
      </c>
      <c r="BD67" s="61"/>
      <c r="BE67" s="11">
        <f>BE9/('Income Statement'!BE5/('Balance Sheet'!BE4-'Balance Sheet'!BD4))</f>
        <v>56.745030540920638</v>
      </c>
      <c r="BF67" s="11">
        <f>BF9/('Income Statement'!BF5/('Balance Sheet'!BF4-'Balance Sheet'!BE4))</f>
        <v>58.469926063897475</v>
      </c>
      <c r="BG67" s="11">
        <f>BG9/('Income Statement'!BG5/('Balance Sheet'!BG4-'Balance Sheet'!BF4))</f>
        <v>53.134882773200211</v>
      </c>
      <c r="BH67" s="11">
        <f>BH9/('Income Statement'!BH5/('Balance Sheet'!BH4-'Balance Sheet'!BG4))</f>
        <v>60.460528174377863</v>
      </c>
      <c r="BI67" s="61"/>
      <c r="BJ67" s="11">
        <f>BJ9/('Income Statement'!BJ5/('Balance Sheet'!BJ4-'Balance Sheet'!BI4))</f>
        <v>58.891497899206364</v>
      </c>
      <c r="BK67" s="11">
        <f>BK9/('Income Statement'!BK5/('Balance Sheet'!BK4-'Balance Sheet'!BJ4))</f>
        <v>53.271168942949089</v>
      </c>
      <c r="BL67" s="11">
        <f>BL9/('Income Statement'!BL5/('Balance Sheet'!BL4-'Balance Sheet'!BK4))</f>
        <v>64.96044855281103</v>
      </c>
      <c r="BM67" s="11">
        <f>BM9/('Income Statement'!BM5/('Balance Sheet'!BM4-'Balance Sheet'!BL4))</f>
        <v>71.221805114967083</v>
      </c>
      <c r="BN67" s="61"/>
      <c r="BO67" s="11">
        <f>BO9/('Income Statement'!BO5/('Balance Sheet'!BO4-'Balance Sheet'!BN4))</f>
        <v>66.232974762495758</v>
      </c>
      <c r="BP67" s="11">
        <f>BP9/('Income Statement'!BP5/('Balance Sheet'!BP4-'Balance Sheet'!BO4))</f>
        <v>68.467700656185656</v>
      </c>
      <c r="BQ67" s="11">
        <f>BQ9/('Income Statement'!BQ5/('Balance Sheet'!BQ4-'Balance Sheet'!BP4))</f>
        <v>70.697373138318881</v>
      </c>
      <c r="BR67" s="11">
        <f>BR9/('Income Statement'!BR5/('Balance Sheet'!BR4-'Balance Sheet'!BQ4))</f>
        <v>71.552955219207703</v>
      </c>
      <c r="BS67" s="61"/>
      <c r="BT67" s="11">
        <f>BT9/('Income Statement'!BT5/('Balance Sheet'!BT4-'Balance Sheet'!BS4))</f>
        <v>73.257260012357463</v>
      </c>
      <c r="BU67" s="11">
        <f>BU9/('Income Statement'!BU5/('Balance Sheet'!BU4-'Balance Sheet'!BT4))</f>
        <v>62.496627992888257</v>
      </c>
      <c r="BV67" s="11">
        <f>BV9/('Income Statement'!BV5/('Balance Sheet'!BV4-'Balance Sheet'!BU4))</f>
        <v>69.439500566823995</v>
      </c>
      <c r="BW67" s="11">
        <f>BW9/('Income Statement'!BW5/('Balance Sheet'!BW4-'Balance Sheet'!BV4))</f>
        <v>72.238160591747615</v>
      </c>
      <c r="BX67" s="61"/>
      <c r="BY67" s="11">
        <f>BY9/('Income Statement'!BY5/('Balance Sheet'!BY4-'Balance Sheet'!BX4))</f>
        <v>65.856243760579886</v>
      </c>
      <c r="BZ67" s="11">
        <f>BZ9/('Income Statement'!BZ5/('Balance Sheet'!BZ4-'Balance Sheet'!BY4))</f>
        <v>61.375993520925149</v>
      </c>
      <c r="CA67" s="11">
        <f>CA9/('Income Statement'!CA5/('Balance Sheet'!CA4-'Balance Sheet'!BZ4))</f>
        <v>66.169874719767904</v>
      </c>
      <c r="CB67" s="11">
        <f>CB9/('Income Statement'!CB5/('Balance Sheet'!CB4-'Balance Sheet'!CA4))</f>
        <v>66.165474514839474</v>
      </c>
      <c r="CC67" s="61"/>
      <c r="CD67" s="11">
        <f>CD9/('Income Statement'!CD5/('Balance Sheet'!CD4-'Balance Sheet'!CC4))</f>
        <v>62.629933050254202</v>
      </c>
      <c r="CE67" s="11">
        <f>CE9/('Income Statement'!CE5/('Balance Sheet'!CE4-'Balance Sheet'!CD4))</f>
        <v>59.587364696583492</v>
      </c>
      <c r="CF67" s="11">
        <f>CF9/('Income Statement'!CF5/('Balance Sheet'!CF4-'Balance Sheet'!CE4))</f>
        <v>51.454267261880887</v>
      </c>
      <c r="CG67" s="11">
        <f>CG9/('Income Statement'!CG5/('Balance Sheet'!CG4-'Balance Sheet'!CF4))</f>
        <v>58.295803489247128</v>
      </c>
      <c r="CH67" s="61"/>
      <c r="CI67" s="11">
        <f>CI9/('Income Statement'!CI5/('Balance Sheet'!CI4-CG4))</f>
        <v>61.328757337819077</v>
      </c>
      <c r="CJ67" s="11">
        <f>CJ9/('Income Statement'!CJ5/('Balance Sheet'!CJ4-CI4))</f>
        <v>61.865203208508966</v>
      </c>
      <c r="CK67" s="11">
        <f>CK9/('Income Statement'!CK5/('Balance Sheet'!CK4-CJ4))</f>
        <v>70.082461571129485</v>
      </c>
      <c r="CL67" s="11">
        <f>CL9/('Income Statement'!CL5/('Balance Sheet'!CL4-CK4))</f>
        <v>67.425051774380805</v>
      </c>
      <c r="CM67" s="61"/>
      <c r="CN67" s="11">
        <f>CN9/('Income Statement'!CN5/('Balance Sheet'!CN4-CL4))</f>
        <v>66.446404691895921</v>
      </c>
      <c r="CO67" s="11">
        <f>CO9/('Income Statement'!CO5/('Balance Sheet'!CO4-CN4))</f>
        <v>62.217093287275134</v>
      </c>
      <c r="CP67" s="11"/>
      <c r="CQ67" s="11"/>
      <c r="CR67" s="61"/>
    </row>
    <row r="68" spans="1:96" ht="11.15" customHeight="1" x14ac:dyDescent="0.2">
      <c r="A68" s="6" t="s">
        <v>192</v>
      </c>
      <c r="B68" s="11"/>
      <c r="C68" s="11">
        <f>C10/'Income Statement'!C6*('Balance Sheet'!C$4-'Balance Sheet'!B$4)</f>
        <v>167.88222493498222</v>
      </c>
      <c r="D68" s="11">
        <f>D10/'Income Statement'!D6*('Balance Sheet'!D$4-'Balance Sheet'!C$4)</f>
        <v>196.87044105173877</v>
      </c>
      <c r="E68" s="11">
        <f>E10/'Income Statement'!E6*('Balance Sheet'!E$4-'Balance Sheet'!D$4)</f>
        <v>176.73154729360306</v>
      </c>
      <c r="F68" s="61"/>
      <c r="G68" s="11">
        <f>G10/'Income Statement'!G6*('Balance Sheet'!G$4-'Balance Sheet'!F$4)</f>
        <v>181.29649451431632</v>
      </c>
      <c r="H68" s="11">
        <f>H10/'Income Statement'!H6*('Balance Sheet'!H$4-'Balance Sheet'!G$4)</f>
        <v>202.88922269707615</v>
      </c>
      <c r="I68" s="11">
        <f>I10/'Income Statement'!I6*('Balance Sheet'!I$4-'Balance Sheet'!H$4)</f>
        <v>206.64885496183206</v>
      </c>
      <c r="J68" s="11">
        <f>J10/'Income Statement'!J6*('Balance Sheet'!J$4-'Balance Sheet'!I$4)</f>
        <v>176.77811704834605</v>
      </c>
      <c r="K68" s="61"/>
      <c r="L68" s="11">
        <f>L10/'Income Statement'!L6*('Balance Sheet'!L$4-'Balance Sheet'!K$4)</f>
        <v>222.5147492625369</v>
      </c>
      <c r="M68" s="11">
        <f>M10/'Income Statement'!M6*('Balance Sheet'!M$4-'Balance Sheet'!L$4)</f>
        <v>239.89513547010017</v>
      </c>
      <c r="N68" s="11">
        <f>N10/'Income Statement'!N6*('Balance Sheet'!N$4-'Balance Sheet'!M$4)</f>
        <v>205.50242405645906</v>
      </c>
      <c r="O68" s="11">
        <f>O10/'Income Statement'!O6*('Balance Sheet'!O$4-'Balance Sheet'!N$4)</f>
        <v>210.81577866910905</v>
      </c>
      <c r="P68" s="61"/>
      <c r="Q68" s="11">
        <f>Q10/'Income Statement'!Q6*('Balance Sheet'!Q$4-'Balance Sheet'!P$4)</f>
        <v>202.39110569600976</v>
      </c>
      <c r="R68" s="11">
        <f>R10/'Income Statement'!R6*('Balance Sheet'!R$4-'Balance Sheet'!Q$4)</f>
        <v>197.45343025897321</v>
      </c>
      <c r="S68" s="11">
        <f>S10/'Income Statement'!S6*('Balance Sheet'!S$4-'Balance Sheet'!R$4)</f>
        <v>187.11569537562318</v>
      </c>
      <c r="T68" s="11">
        <f>T10/'Income Statement'!T6*('Balance Sheet'!T$4-'Balance Sheet'!S$4)</f>
        <v>141.47197580058753</v>
      </c>
      <c r="U68" s="61"/>
      <c r="V68" s="11">
        <f>V10/'Income Statement'!V6*('Balance Sheet'!V$4-'Balance Sheet'!U$4)</f>
        <v>153.0531363147079</v>
      </c>
      <c r="W68" s="11">
        <f>W10/'Income Statement'!W6*('Balance Sheet'!W$4-'Balance Sheet'!V$4)</f>
        <v>133.61521319672798</v>
      </c>
      <c r="X68" s="11">
        <f>X10/'Income Statement'!X6*('Balance Sheet'!X$4-'Balance Sheet'!W$4)</f>
        <v>149.72205225939115</v>
      </c>
      <c r="Y68" s="11">
        <f>Y10/'Income Statement'!Y6*('Balance Sheet'!Y$4-'Balance Sheet'!X$4)</f>
        <v>146.64232613381429</v>
      </c>
      <c r="Z68" s="61"/>
      <c r="AA68" s="11">
        <f>AA10/'Income Statement'!AA6*('Balance Sheet'!AA$4-'Balance Sheet'!Z$4)</f>
        <v>172.44491488810161</v>
      </c>
      <c r="AB68" s="11">
        <f>AB10/'Income Statement'!AB6*('Balance Sheet'!AB$4-'Balance Sheet'!AA$4)</f>
        <v>180.04423320659063</v>
      </c>
      <c r="AC68" s="11">
        <f>AC10/'Income Statement'!AC6*('Balance Sheet'!AC$4-'Balance Sheet'!AB$4)</f>
        <v>184.10360890708984</v>
      </c>
      <c r="AD68" s="11">
        <f>AD10/'Income Statement'!AD6*('Balance Sheet'!AD$4-'Balance Sheet'!AC$4)</f>
        <v>188.47593695271453</v>
      </c>
      <c r="AE68" s="61"/>
      <c r="AF68" s="11">
        <f>AF10/'Income Statement'!AF6*('Balance Sheet'!AF$4-'Balance Sheet'!AE$4)</f>
        <v>206.06388053129814</v>
      </c>
      <c r="AG68" s="11">
        <f>AG10/'Income Statement'!AG6*('Balance Sheet'!AG$4-'Balance Sheet'!AF$4)</f>
        <v>176.14435787168543</v>
      </c>
      <c r="AH68" s="11">
        <f>AH10/'Income Statement'!AH6*('Balance Sheet'!AH$4-'Balance Sheet'!AG$4)</f>
        <v>176.52842942345924</v>
      </c>
      <c r="AI68" s="11">
        <f>AI10/'Income Statement'!AI6*('Balance Sheet'!AI$4-'Balance Sheet'!AH$4)</f>
        <v>183.8762024736601</v>
      </c>
      <c r="AJ68" s="61"/>
      <c r="AK68" s="11">
        <f>AK10/'Income Statement'!AK6*('Balance Sheet'!AK$4-'Balance Sheet'!AJ$4)</f>
        <v>193.14977873767199</v>
      </c>
      <c r="AL68" s="11">
        <f>AL10/'Income Statement'!AL6*('Balance Sheet'!AL$4-'Balance Sheet'!AK$4)</f>
        <v>179.20309524722359</v>
      </c>
      <c r="AM68" s="11">
        <f>AM10/'Income Statement'!AM6*('Balance Sheet'!AM$4-'Balance Sheet'!AL$4)</f>
        <v>198.59912527256458</v>
      </c>
      <c r="AN68" s="11">
        <f>AN10/'Income Statement'!AN6*('Balance Sheet'!AN$4-'Balance Sheet'!AM$4)</f>
        <v>188.39180905178037</v>
      </c>
      <c r="AO68" s="61"/>
      <c r="AP68" s="11">
        <f>AP10/'Income Statement'!AP6*('Balance Sheet'!AP$4-'Balance Sheet'!AO$4)</f>
        <v>188.82828357382738</v>
      </c>
      <c r="AQ68" s="11">
        <f>AQ10/'Income Statement'!AQ6*('Balance Sheet'!AQ$4-'Balance Sheet'!AP$4)</f>
        <v>185.07308728417655</v>
      </c>
      <c r="AR68" s="11">
        <f>AR10/'Income Statement'!AR6*('Balance Sheet'!AR$4-'Balance Sheet'!AQ$4)</f>
        <v>182.32784531972925</v>
      </c>
      <c r="AS68" s="11">
        <f>AS10/'Income Statement'!AS6*('Balance Sheet'!AS$4-'Balance Sheet'!AR$4)</f>
        <v>168.29253890998555</v>
      </c>
      <c r="AT68" s="61"/>
      <c r="AU68" s="11">
        <f>AU10/'Income Statement'!AU6*('Balance Sheet'!AU$4-'Balance Sheet'!AT$4)</f>
        <v>171.97502551216354</v>
      </c>
      <c r="AV68" s="11">
        <f>AV10/'Income Statement'!AV6*('Balance Sheet'!AV$4-'Balance Sheet'!AU$4)</f>
        <v>163.17158829332456</v>
      </c>
      <c r="AW68" s="11">
        <f>AW10/'Income Statement'!AW6*('Balance Sheet'!AW$4-'Balance Sheet'!AV$4)</f>
        <v>164.93935792882607</v>
      </c>
      <c r="AX68" s="11">
        <f>AX10/'Income Statement'!AX6*('Balance Sheet'!AX$4-'Balance Sheet'!AW$4)</f>
        <v>184.51803943573236</v>
      </c>
      <c r="AY68" s="61"/>
      <c r="AZ68" s="11">
        <f>AZ10/'Income Statement'!AZ6*('Balance Sheet'!AZ$4-'Balance Sheet'!AY$4)</f>
        <v>222.41471164824748</v>
      </c>
      <c r="BA68" s="11">
        <f>BA10/'Income Statement'!BA6*('Balance Sheet'!BA$4-'Balance Sheet'!AZ$4)</f>
        <v>190.78979519129672</v>
      </c>
      <c r="BB68" s="11">
        <f>BB10/'Income Statement'!BB6*('Balance Sheet'!BB$4-'Balance Sheet'!BA$4)</f>
        <v>183.93776912543512</v>
      </c>
      <c r="BC68" s="11">
        <f>BC10/'Income Statement'!BC6*('Balance Sheet'!BC$4-'Balance Sheet'!BB$4)</f>
        <v>176.21444885202547</v>
      </c>
      <c r="BD68" s="61"/>
      <c r="BE68" s="11">
        <f>BE10/'Income Statement'!BE6*('Balance Sheet'!BE$4-'Balance Sheet'!BD$4)</f>
        <v>183.31430482427146</v>
      </c>
      <c r="BF68" s="11">
        <f>BF10/'Income Statement'!BF6*('Balance Sheet'!BF$4-'Balance Sheet'!BE$4)</f>
        <v>145.4536875218455</v>
      </c>
      <c r="BG68" s="11">
        <f>BG10/'Income Statement'!BG6*('Balance Sheet'!BG$4-'Balance Sheet'!BF$4)</f>
        <v>154.64441270974652</v>
      </c>
      <c r="BH68" s="11">
        <f>BH10/'Income Statement'!BH6*('Balance Sheet'!BH$4-'Balance Sheet'!BG$4)</f>
        <v>185.92625868568652</v>
      </c>
      <c r="BI68" s="61"/>
      <c r="BJ68" s="11">
        <f>BJ10/'Income Statement'!BJ6*('Balance Sheet'!BJ$4-'Balance Sheet'!BI$4)</f>
        <v>204.94147039654445</v>
      </c>
      <c r="BK68" s="11">
        <f>BK10/'Income Statement'!BK6*('Balance Sheet'!BK$4-'Balance Sheet'!BJ$4)</f>
        <v>191.54787335281407</v>
      </c>
      <c r="BL68" s="11">
        <f>BL10/'Income Statement'!BL6*('Balance Sheet'!BL$4-'Balance Sheet'!BK$4)</f>
        <v>226.86258547300233</v>
      </c>
      <c r="BM68" s="11">
        <f>BM10/'Income Statement'!BM6*('Balance Sheet'!BM$4-'Balance Sheet'!BL$4)</f>
        <v>227.36427377329261</v>
      </c>
      <c r="BN68" s="61"/>
      <c r="BO68" s="11">
        <f>BO10/'Income Statement'!BO6*('Balance Sheet'!BO$4-'Balance Sheet'!BN$4)</f>
        <v>226.34185245822701</v>
      </c>
      <c r="BP68" s="11">
        <f>BP10/'Income Statement'!BP6*('Balance Sheet'!BP$4-'Balance Sheet'!BO$4)</f>
        <v>211.2200379225421</v>
      </c>
      <c r="BQ68" s="11">
        <f>BQ10/'Income Statement'!BQ6*('Balance Sheet'!BQ$4-'Balance Sheet'!BP$4)</f>
        <v>217.7161107329249</v>
      </c>
      <c r="BR68" s="11">
        <f>BR10/'Income Statement'!BR6*('Balance Sheet'!BR$4-'Balance Sheet'!BQ$4)</f>
        <v>192.03986317589789</v>
      </c>
      <c r="BS68" s="61"/>
      <c r="BT68" s="11">
        <f>BT10/'Income Statement'!BT6*('Balance Sheet'!BT$4-'Balance Sheet'!BS$4)</f>
        <v>225.92578194389409</v>
      </c>
      <c r="BU68" s="11">
        <f>BU10/'Income Statement'!BU6*('Balance Sheet'!BU$4-'Balance Sheet'!BT$4)</f>
        <v>208.87527037671447</v>
      </c>
      <c r="BV68" s="11">
        <f>BV10/'Income Statement'!BV6*('Balance Sheet'!BV$4-'Balance Sheet'!BU$4)</f>
        <v>205.68580552855738</v>
      </c>
      <c r="BW68" s="11">
        <f>BW10/'Income Statement'!BW6*('Balance Sheet'!BW$4-'Balance Sheet'!BV$4)</f>
        <v>176.96537040648008</v>
      </c>
      <c r="BX68" s="61"/>
      <c r="BY68" s="11">
        <f>BY10/'Income Statement'!BY6*('Balance Sheet'!BY$4-'Balance Sheet'!BX$4)</f>
        <v>182.45872660991003</v>
      </c>
      <c r="BZ68" s="11">
        <f>BZ10/'Income Statement'!BZ6*('Balance Sheet'!BZ$4-'Balance Sheet'!BY$4)</f>
        <v>192.61119133574007</v>
      </c>
      <c r="CA68" s="11">
        <f>CA10/'Income Statement'!CA6*('Balance Sheet'!CA$4-'Balance Sheet'!BZ$4)</f>
        <v>207.0947246424802</v>
      </c>
      <c r="CB68" s="11">
        <f>CB10/'Income Statement'!CB6*('Balance Sheet'!CB$4-'Balance Sheet'!CA$4)</f>
        <v>213.58609708659594</v>
      </c>
      <c r="CC68" s="61"/>
      <c r="CD68" s="11">
        <f>CD10/'Income Statement'!CD6*('Balance Sheet'!CD$4-'Balance Sheet'!CC$4)</f>
        <v>220.2655961404536</v>
      </c>
      <c r="CE68" s="11">
        <f>CE10/'Income Statement'!CE6*('Balance Sheet'!CE$4-'Balance Sheet'!CD$4)</f>
        <v>247.52894532414172</v>
      </c>
      <c r="CF68" s="11">
        <f>CF10/'Income Statement'!CF6*('Balance Sheet'!CF$4-'Balance Sheet'!CE$4)</f>
        <v>257.37178596247395</v>
      </c>
      <c r="CG68" s="11">
        <f>CG10/'Income Statement'!CG6*('Balance Sheet'!CG$4-'Balance Sheet'!CF$4)</f>
        <v>171.8328511449682</v>
      </c>
      <c r="CH68" s="61"/>
      <c r="CI68" s="11">
        <f>CI10/('Income Statement'!CI6/('Balance Sheet'!CI4-CG4))</f>
        <v>227.49860165005293</v>
      </c>
      <c r="CJ68" s="11">
        <f>CJ10/('Income Statement'!CJ6/('Balance Sheet'!CJ4-CI4))</f>
        <v>232.51711566465571</v>
      </c>
      <c r="CK68" s="11">
        <f>CK10/('Income Statement'!CK6/('Balance Sheet'!CK4-CJ4))</f>
        <v>261.98534115929471</v>
      </c>
      <c r="CL68" s="11">
        <f>CL10/('Income Statement'!CL6/('Balance Sheet'!CL4-CK4))</f>
        <v>226.04510464146898</v>
      </c>
      <c r="CM68" s="61"/>
      <c r="CN68" s="11">
        <f>CN10/('Income Statement'!CN6/('Balance Sheet'!CN4-CL4))</f>
        <v>254.43157703935316</v>
      </c>
      <c r="CO68" s="11">
        <f>CO10/('Income Statement'!CO6/('Balance Sheet'!CO4-CN4))</f>
        <v>225.91709969713673</v>
      </c>
      <c r="CP68" s="11"/>
      <c r="CQ68" s="11"/>
      <c r="CR68" s="61"/>
    </row>
    <row r="69" spans="1:96" ht="11.15" customHeight="1" x14ac:dyDescent="0.2">
      <c r="A69" s="6" t="s">
        <v>193</v>
      </c>
      <c r="B69" s="11"/>
      <c r="C69" s="11">
        <f>C29/'Income Statement'!C6*('Balance Sheet'!C$4-'Balance Sheet'!B$4)</f>
        <v>30.095058648691683</v>
      </c>
      <c r="D69" s="11">
        <f>D29/'Income Statement'!D6*('Balance Sheet'!D$4-'Balance Sheet'!C$4)</f>
        <v>33.900127226463106</v>
      </c>
      <c r="E69" s="11">
        <f>E29/'Income Statement'!E6*('Balance Sheet'!E$4-'Balance Sheet'!D$4)</f>
        <v>32.024785857481319</v>
      </c>
      <c r="F69" s="61"/>
      <c r="G69" s="11">
        <f>G29/'Income Statement'!G6*('Balance Sheet'!G$4-'Balance Sheet'!F$4)</f>
        <v>34.680224779234678</v>
      </c>
      <c r="H69" s="11">
        <f>H29/'Income Statement'!H6*('Balance Sheet'!H$4-'Balance Sheet'!G$4)</f>
        <v>41.539711420471377</v>
      </c>
      <c r="I69" s="11">
        <f>I29/'Income Statement'!I6*('Balance Sheet'!I$4-'Balance Sheet'!H$4)</f>
        <v>32.319389312977094</v>
      </c>
      <c r="J69" s="11">
        <f>J29/'Income Statement'!J6*('Balance Sheet'!J$4-'Balance Sheet'!I$4)</f>
        <v>27.635114503816794</v>
      </c>
      <c r="K69" s="61"/>
      <c r="L69" s="11">
        <f>L29/'Income Statement'!L6*('Balance Sheet'!L$4-'Balance Sheet'!K$4)</f>
        <v>36.315634218289084</v>
      </c>
      <c r="M69" s="11">
        <f>M29/'Income Statement'!M6*('Balance Sheet'!M$4-'Balance Sheet'!L$4)</f>
        <v>30.116122146865425</v>
      </c>
      <c r="N69" s="11">
        <f>N29/'Income Statement'!N6*('Balance Sheet'!N$4-'Balance Sheet'!M$4)</f>
        <v>28.317029763731206</v>
      </c>
      <c r="O69" s="11">
        <f>O29/'Income Statement'!O6*('Balance Sheet'!O$4-'Balance Sheet'!N$4)</f>
        <v>22.486435271452486</v>
      </c>
      <c r="P69" s="61"/>
      <c r="Q69" s="11">
        <f>Q29/'Income Statement'!Q6*('Balance Sheet'!Q$4-'Balance Sheet'!P$4)</f>
        <v>15.318306427048432</v>
      </c>
      <c r="R69" s="11">
        <f>R29/'Income Statement'!R6*('Balance Sheet'!R$4-'Balance Sheet'!Q$4)</f>
        <v>19.28895956383462</v>
      </c>
      <c r="S69" s="11">
        <f>S29/'Income Statement'!S6*('Balance Sheet'!S$4-'Balance Sheet'!R$4)</f>
        <v>14.626370981605639</v>
      </c>
      <c r="T69" s="11">
        <f>T29/'Income Statement'!T6*('Balance Sheet'!T$4-'Balance Sheet'!S$4)</f>
        <v>15.038538727785696</v>
      </c>
      <c r="U69" s="61"/>
      <c r="V69" s="11">
        <f>V29/'Income Statement'!V6*('Balance Sheet'!V$4-'Balance Sheet'!U$4)</f>
        <v>17.097563362364223</v>
      </c>
      <c r="W69" s="11">
        <f>W29/'Income Statement'!W6*('Balance Sheet'!W$4-'Balance Sheet'!V$4)</f>
        <v>25.786259749436095</v>
      </c>
      <c r="X69" s="11">
        <f>X29/'Income Statement'!X6*('Balance Sheet'!X$4-'Balance Sheet'!W$4)</f>
        <v>24.599929785846832</v>
      </c>
      <c r="Y69" s="11">
        <f>Y29/'Income Statement'!Y6*('Balance Sheet'!Y$4-'Balance Sheet'!X$4)</f>
        <v>19.24339066555228</v>
      </c>
      <c r="Z69" s="61"/>
      <c r="AA69" s="11">
        <f>AA29/'Income Statement'!AA6*('Balance Sheet'!AA$4-'Balance Sheet'!Z$4)</f>
        <v>24.35280394020565</v>
      </c>
      <c r="AB69" s="11">
        <f>AB29/'Income Statement'!AB6*('Balance Sheet'!AB$4-'Balance Sheet'!AA$4)</f>
        <v>24.523700887198988</v>
      </c>
      <c r="AC69" s="11">
        <f>AC29/'Income Statement'!AC6*('Balance Sheet'!AC$4-'Balance Sheet'!AB$4)</f>
        <v>23.925808378124731</v>
      </c>
      <c r="AD69" s="11">
        <f>AD29/'Income Statement'!AD6*('Balance Sheet'!AD$4-'Balance Sheet'!AC$4)</f>
        <v>17.919859894921192</v>
      </c>
      <c r="AE69" s="61"/>
      <c r="AF69" s="11">
        <f>AF29/'Income Statement'!AF6*('Balance Sheet'!AF$4-'Balance Sheet'!AE$4)</f>
        <v>22.517942320393338</v>
      </c>
      <c r="AG69" s="11">
        <f>AG29/'Income Statement'!AG6*('Balance Sheet'!AG$4-'Balance Sheet'!AF$4)</f>
        <v>19.061523081073361</v>
      </c>
      <c r="AH69" s="11">
        <f>AH29/'Income Statement'!AH6*('Balance Sheet'!AH$4-'Balance Sheet'!AG$4)</f>
        <v>18.670434535643285</v>
      </c>
      <c r="AI69" s="11">
        <f>AI29/'Income Statement'!AI6*('Balance Sheet'!AI$4-'Balance Sheet'!AH$4)</f>
        <v>23.42012139257902</v>
      </c>
      <c r="AJ69" s="61"/>
      <c r="AK69" s="11">
        <f>AK29/'Income Statement'!AK6*('Balance Sheet'!AK$4-'Balance Sheet'!AJ$4)</f>
        <v>19.811662714654666</v>
      </c>
      <c r="AL69" s="11">
        <f>AL29/'Income Statement'!AL6*('Balance Sheet'!AL$4-'Balance Sheet'!AK$4)</f>
        <v>21.543725798412762</v>
      </c>
      <c r="AM69" s="11">
        <f>AM29/'Income Statement'!AM6*('Balance Sheet'!AM$4-'Balance Sheet'!AL$4)</f>
        <v>16.573891780839183</v>
      </c>
      <c r="AN69" s="11">
        <f>AN29/'Income Statement'!AN6*('Balance Sheet'!AN$4-'Balance Sheet'!AM$4)</f>
        <v>20.494018046646193</v>
      </c>
      <c r="AO69" s="61"/>
      <c r="AP69" s="11">
        <f>AP29/'Income Statement'!AP6*('Balance Sheet'!AP$4-'Balance Sheet'!AO$4)</f>
        <v>20.614828209764919</v>
      </c>
      <c r="AQ69" s="11">
        <f>AQ29/'Income Statement'!AQ6*('Balance Sheet'!AQ$4-'Balance Sheet'!AP$4)</f>
        <v>15.576446116598655</v>
      </c>
      <c r="AR69" s="11">
        <f>AR29/'Income Statement'!AR6*('Balance Sheet'!AR$4-'Balance Sheet'!AQ$4)</f>
        <v>19.270414416801934</v>
      </c>
      <c r="AS69" s="11">
        <f>AS29/'Income Statement'!AS6*('Balance Sheet'!AS$4-'Balance Sheet'!AR$4)</f>
        <v>16.868716906455578</v>
      </c>
      <c r="AT69" s="61"/>
      <c r="AU69" s="11">
        <f>AU29/'Income Statement'!AU6*('Balance Sheet'!AU$4-'Balance Sheet'!AT$4)</f>
        <v>15.718126255033852</v>
      </c>
      <c r="AV69" s="11">
        <f>AV29/'Income Statement'!AV6*('Balance Sheet'!AV$4-'Balance Sheet'!AU$4)</f>
        <v>18.413745478461031</v>
      </c>
      <c r="AW69" s="11">
        <f>AW29/'Income Statement'!AW6*('Balance Sheet'!AW$4-'Balance Sheet'!AV$4)</f>
        <v>17.410706024293113</v>
      </c>
      <c r="AX69" s="11">
        <f>AX29/'Income Statement'!AX6*('Balance Sheet'!AX$4-'Balance Sheet'!AW$4)</f>
        <v>23.831625370386778</v>
      </c>
      <c r="AY69" s="61"/>
      <c r="AZ69" s="11">
        <f>AZ29/'Income Statement'!AZ6*('Balance Sheet'!AZ$4-'Balance Sheet'!AY$4)</f>
        <v>19.875557422607123</v>
      </c>
      <c r="BA69" s="11">
        <f>BA29/'Income Statement'!BA6*('Balance Sheet'!BA$4-'Balance Sheet'!AZ$4)</f>
        <v>16.142036617050302</v>
      </c>
      <c r="BB69" s="11">
        <f>BB29/'Income Statement'!BB6*('Balance Sheet'!BB$4-'Balance Sheet'!BA$4)</f>
        <v>13.583785656542325</v>
      </c>
      <c r="BC69" s="11">
        <f>BC29/'Income Statement'!BC6*('Balance Sheet'!BC$4-'Balance Sheet'!BB$4)</f>
        <v>20.67889570060504</v>
      </c>
      <c r="BD69" s="61"/>
      <c r="BE69" s="11">
        <f>BE29/'Income Statement'!BE6*('Balance Sheet'!BE$4-'Balance Sheet'!BD$4)</f>
        <v>17.770553511848746</v>
      </c>
      <c r="BF69" s="11">
        <f>BF29/'Income Statement'!BF6*('Balance Sheet'!BF$4-'Balance Sheet'!BE$4)</f>
        <v>16.180307462119121</v>
      </c>
      <c r="BG69" s="11">
        <f>BG29/'Income Statement'!BG6*('Balance Sheet'!BG$4-'Balance Sheet'!BF$4)</f>
        <v>18.760752112340832</v>
      </c>
      <c r="BH69" s="11">
        <f>BH29/'Income Statement'!BH6*('Balance Sheet'!BH$4-'Balance Sheet'!BG$4)</f>
        <v>21.213618631043861</v>
      </c>
      <c r="BI69" s="61"/>
      <c r="BJ69" s="11">
        <f>BJ29/'Income Statement'!BJ6*('Balance Sheet'!BJ$4-'Balance Sheet'!BI$4)</f>
        <v>19.189595021149888</v>
      </c>
      <c r="BK69" s="11">
        <f>BK29/'Income Statement'!BK6*('Balance Sheet'!BK$4-'Balance Sheet'!BJ$4)</f>
        <v>21.899030441451426</v>
      </c>
      <c r="BL69" s="11">
        <f>BL29/'Income Statement'!BL6*('Balance Sheet'!BL$4-'Balance Sheet'!BK$4)</f>
        <v>16.836772936548318</v>
      </c>
      <c r="BM69" s="11">
        <f>BM29/'Income Statement'!BM6*('Balance Sheet'!BM$4-'Balance Sheet'!BL$4)</f>
        <v>20.452018640196446</v>
      </c>
      <c r="BN69" s="61"/>
      <c r="BO69" s="11">
        <f>BO29/'Income Statement'!BO6*('Balance Sheet'!BO$4-'Balance Sheet'!BN$4)</f>
        <v>21.652742331583763</v>
      </c>
      <c r="BP69" s="11">
        <f>BP29/'Income Statement'!BP6*('Balance Sheet'!BP$4-'Balance Sheet'!BO$4)</f>
        <v>18.849334176056491</v>
      </c>
      <c r="BQ69" s="11">
        <f>BQ29/'Income Statement'!BQ6*('Balance Sheet'!BQ$4-'Balance Sheet'!BP$4)</f>
        <v>15.900113455865668</v>
      </c>
      <c r="BR69" s="11">
        <f>BR29/'Income Statement'!BR6*('Balance Sheet'!BR$4-'Balance Sheet'!BQ$4)</f>
        <v>13.782550541595404</v>
      </c>
      <c r="BS69" s="61"/>
      <c r="BT69" s="11">
        <f>BT29/'Income Statement'!BT6*('Balance Sheet'!BT$4-'Balance Sheet'!BS$4)</f>
        <v>24.650314963857728</v>
      </c>
      <c r="BU69" s="11">
        <f>BU29/'Income Statement'!BU6*('Balance Sheet'!BU$4-'Balance Sheet'!BT$4)</f>
        <v>24.041653642740147</v>
      </c>
      <c r="BV69" s="11">
        <f>BV29/'Income Statement'!BV6*('Balance Sheet'!BV$4-'Balance Sheet'!BU$4)</f>
        <v>20.757746801972846</v>
      </c>
      <c r="BW69" s="11">
        <f>BW29/'Income Statement'!BW6*('Balance Sheet'!BW$4-'Balance Sheet'!BV$4)</f>
        <v>12.483812997032953</v>
      </c>
      <c r="BX69" s="61"/>
      <c r="BY69" s="11">
        <f>BY29/'Income Statement'!BY6*('Balance Sheet'!BY$4-'Balance Sheet'!BX$4)</f>
        <v>22.155798099056135</v>
      </c>
      <c r="BZ69" s="11">
        <f>BZ29/'Income Statement'!BZ6*('Balance Sheet'!BZ$4-'Balance Sheet'!BY$4)</f>
        <v>24.145733270548838</v>
      </c>
      <c r="CA69" s="11">
        <f>CA29/'Income Statement'!CA6*('Balance Sheet'!CA$4-'Balance Sheet'!BZ$4)</f>
        <v>24.955897266085806</v>
      </c>
      <c r="CB69" s="11">
        <f>CB29/'Income Statement'!CB6*('Balance Sheet'!CB$4-'Balance Sheet'!CA$4)</f>
        <v>25.884995616289267</v>
      </c>
      <c r="CC69" s="61"/>
      <c r="CD69" s="11">
        <f>CD29/'Income Statement'!CD6*('Balance Sheet'!CD$4-'Balance Sheet'!CC$4)</f>
        <v>21.110881215999356</v>
      </c>
      <c r="CE69" s="11">
        <f>CE29/'Income Statement'!CE6*('Balance Sheet'!CE$4-'Balance Sheet'!CD$4)</f>
        <v>25.464830295242798</v>
      </c>
      <c r="CF69" s="11">
        <f>CF29/'Income Statement'!CF6*('Balance Sheet'!CF$4-'Balance Sheet'!CE$4)</f>
        <v>25.514014361825343</v>
      </c>
      <c r="CG69" s="11">
        <f>CG29/'Income Statement'!CG6*('Balance Sheet'!CG$4-'Balance Sheet'!CF$4)</f>
        <v>15.596633848523183</v>
      </c>
      <c r="CH69" s="61"/>
      <c r="CI69" s="11">
        <f>CI29/('Income Statement'!CI6/('Balance Sheet'!CI4-CG4))</f>
        <v>18.384206636169321</v>
      </c>
      <c r="CJ69" s="11">
        <f>CJ29/('Income Statement'!CJ6/('Balance Sheet'!CJ4-CI4))</f>
        <v>17.70874765966299</v>
      </c>
      <c r="CK69" s="11">
        <f>CK29/('Income Statement'!CK6/('Balance Sheet'!CK4-CJ4))</f>
        <v>18.0867067460341</v>
      </c>
      <c r="CL69" s="11">
        <f>CL29/('Income Statement'!CL6/('Balance Sheet'!CL4-CK4))</f>
        <v>14.252763552504792</v>
      </c>
      <c r="CM69" s="61"/>
      <c r="CN69" s="11">
        <f>CN29/('Income Statement'!CN6/('Balance Sheet'!CN4-CL4))</f>
        <v>15.714234850103255</v>
      </c>
      <c r="CO69" s="11">
        <f>CO29/('Income Statement'!CO6/('Balance Sheet'!CO4-CN4))</f>
        <v>14.784632631194297</v>
      </c>
      <c r="CP69" s="11"/>
      <c r="CQ69" s="11"/>
      <c r="CR69" s="61"/>
    </row>
    <row r="70" spans="1:96" ht="11.15" customHeight="1" x14ac:dyDescent="0.2">
      <c r="A70" s="6" t="s">
        <v>194</v>
      </c>
      <c r="B70" s="12"/>
      <c r="C70" s="12">
        <f t="shared" ref="C70:D70" si="166">C67+C68-C69</f>
        <v>189.05242231413044</v>
      </c>
      <c r="D70" s="12">
        <f t="shared" si="166"/>
        <v>220.0468586721031</v>
      </c>
      <c r="E70" s="12">
        <f>E67+E68-E69</f>
        <v>193.55765342367431</v>
      </c>
      <c r="F70" s="60"/>
      <c r="G70" s="12">
        <f t="shared" ref="G70:I70" si="167">G67+G68-G69</f>
        <v>199.23931478573667</v>
      </c>
      <c r="H70" s="12">
        <f t="shared" si="167"/>
        <v>216.68410355909478</v>
      </c>
      <c r="I70" s="12">
        <f t="shared" si="167"/>
        <v>238.23686571147891</v>
      </c>
      <c r="J70" s="12">
        <f>J67+J68-J69</f>
        <v>205.85631541793799</v>
      </c>
      <c r="K70" s="60"/>
      <c r="L70" s="12">
        <f t="shared" ref="L70:N70" si="168">L67+L68-L69</f>
        <v>250.33934879869216</v>
      </c>
      <c r="M70" s="12">
        <f t="shared" si="168"/>
        <v>271.12446104977687</v>
      </c>
      <c r="N70" s="12">
        <f t="shared" si="168"/>
        <v>235.79140603239117</v>
      </c>
      <c r="O70" s="12">
        <f>O67+O68-O69</f>
        <v>254.47815599002001</v>
      </c>
      <c r="P70" s="60"/>
      <c r="Q70" s="12">
        <f t="shared" ref="Q70:S70" si="169">Q67+Q68-Q69</f>
        <v>246.01835952266109</v>
      </c>
      <c r="R70" s="12">
        <f t="shared" si="169"/>
        <v>250.28397050942607</v>
      </c>
      <c r="S70" s="12">
        <f t="shared" si="169"/>
        <v>232.27486403774788</v>
      </c>
      <c r="T70" s="12">
        <f>T67+T68-T69</f>
        <v>177.87196505983516</v>
      </c>
      <c r="U70" s="60"/>
      <c r="V70" s="12">
        <f t="shared" ref="V70:X70" si="170">V67+V68-V69</f>
        <v>188.82292706530362</v>
      </c>
      <c r="W70" s="12">
        <f t="shared" si="170"/>
        <v>161.82308053997974</v>
      </c>
      <c r="X70" s="12">
        <f t="shared" si="170"/>
        <v>187.04797043555362</v>
      </c>
      <c r="Y70" s="12">
        <f>Y67+Y68-Y69</f>
        <v>177.86888645108124</v>
      </c>
      <c r="Z70" s="60"/>
      <c r="AA70" s="12">
        <f t="shared" ref="AA70:AC70" si="171">AA67+AA68-AA69</f>
        <v>200.28703281508018</v>
      </c>
      <c r="AB70" s="12">
        <f t="shared" si="171"/>
        <v>210.21187859940738</v>
      </c>
      <c r="AC70" s="12">
        <f t="shared" si="171"/>
        <v>217.46110183684337</v>
      </c>
      <c r="AD70" s="12">
        <f>AD67+AD68-AD69</f>
        <v>226.97798697003711</v>
      </c>
      <c r="AE70" s="60"/>
      <c r="AF70" s="12">
        <f t="shared" ref="AF70:AH70" si="172">AF67+AF68-AF69</f>
        <v>248.8648387888644</v>
      </c>
      <c r="AG70" s="12">
        <f t="shared" si="172"/>
        <v>213.91008398765109</v>
      </c>
      <c r="AH70" s="12">
        <f t="shared" si="172"/>
        <v>222.9543825101949</v>
      </c>
      <c r="AI70" s="12">
        <f>AI67+AI68-AI69</f>
        <v>221.75346782865057</v>
      </c>
      <c r="AJ70" s="60"/>
      <c r="AK70" s="12">
        <f t="shared" ref="AK70:AM70" si="173">AK67+AK68-AK69</f>
        <v>238.55658315777751</v>
      </c>
      <c r="AL70" s="12">
        <f t="shared" si="173"/>
        <v>219.61605639245747</v>
      </c>
      <c r="AM70" s="12">
        <f t="shared" si="173"/>
        <v>246.49663086149167</v>
      </c>
      <c r="AN70" s="12">
        <f>AN67+AN68-AN69</f>
        <v>225.47607135169361</v>
      </c>
      <c r="AO70" s="60"/>
      <c r="AP70" s="12">
        <f t="shared" ref="AP70:AR70" si="174">AP67+AP68-AP69</f>
        <v>224.98508074879058</v>
      </c>
      <c r="AQ70" s="12">
        <f t="shared" si="174"/>
        <v>228.2732743281781</v>
      </c>
      <c r="AR70" s="12">
        <f t="shared" si="174"/>
        <v>226.01663471357688</v>
      </c>
      <c r="AS70" s="12">
        <f>AS67+AS68-AS69</f>
        <v>214.9045406079793</v>
      </c>
      <c r="AT70" s="60"/>
      <c r="AU70" s="12">
        <f t="shared" ref="AU70:AW70" si="175">AU67+AU68-AU69</f>
        <v>224.01066885905976</v>
      </c>
      <c r="AV70" s="12">
        <f t="shared" si="175"/>
        <v>210.48243007851295</v>
      </c>
      <c r="AW70" s="12">
        <f t="shared" si="175"/>
        <v>206.01115793021239</v>
      </c>
      <c r="AX70" s="12">
        <f>AX67+AX68-AX69</f>
        <v>222.59365204304049</v>
      </c>
      <c r="AY70" s="60"/>
      <c r="AZ70" s="12">
        <f t="shared" ref="AZ70:BB70" si="176">AZ67+AZ68-AZ69</f>
        <v>266.86766403031879</v>
      </c>
      <c r="BA70" s="12">
        <f t="shared" si="176"/>
        <v>229.17712915105614</v>
      </c>
      <c r="BB70" s="12">
        <f t="shared" si="176"/>
        <v>226.63121387146106</v>
      </c>
      <c r="BC70" s="12">
        <f>BC67+BC68-BC69</f>
        <v>206.73804064789516</v>
      </c>
      <c r="BD70" s="60"/>
      <c r="BE70" s="12">
        <f t="shared" ref="BE70:BF70" si="177">BE67+BE68-BE69</f>
        <v>222.28878185334338</v>
      </c>
      <c r="BF70" s="12">
        <f t="shared" si="177"/>
        <v>187.74330612362385</v>
      </c>
      <c r="BG70" s="12">
        <f t="shared" ref="BG70:BH70" si="178">BG67+BG68-BG69</f>
        <v>189.0185433706059</v>
      </c>
      <c r="BH70" s="12">
        <f t="shared" si="178"/>
        <v>225.17316822902052</v>
      </c>
      <c r="BI70" s="60"/>
      <c r="BJ70" s="12">
        <f t="shared" ref="BJ70:BK70" si="179">BJ67+BJ68-BJ69</f>
        <v>244.64337327460089</v>
      </c>
      <c r="BK70" s="12">
        <f t="shared" si="179"/>
        <v>222.92001185431172</v>
      </c>
      <c r="BL70" s="12">
        <f t="shared" ref="BL70" si="180">BL67+BL68-BL69</f>
        <v>274.98626108926504</v>
      </c>
      <c r="BM70" s="12">
        <f t="shared" ref="BM70" si="181">BM67+BM68-BM69</f>
        <v>278.13406024806324</v>
      </c>
      <c r="BN70" s="60"/>
      <c r="BO70" s="12">
        <f t="shared" ref="BO70:BP70" si="182">BO67+BO68-BO69</f>
        <v>270.92208488913906</v>
      </c>
      <c r="BP70" s="12">
        <f t="shared" si="182"/>
        <v>260.83840440267124</v>
      </c>
      <c r="BQ70" s="12">
        <f t="shared" ref="BQ70:BR70" si="183">BQ67+BQ68-BQ69</f>
        <v>272.51337041537812</v>
      </c>
      <c r="BR70" s="12">
        <f t="shared" si="183"/>
        <v>249.8102678535102</v>
      </c>
      <c r="BS70" s="60"/>
      <c r="BT70" s="12">
        <f t="shared" ref="BT70:BU70" si="184">BT67+BT68-BT69</f>
        <v>274.5327269923938</v>
      </c>
      <c r="BU70" s="12">
        <f t="shared" si="184"/>
        <v>247.33024472686256</v>
      </c>
      <c r="BV70" s="12">
        <f t="shared" ref="BV70" si="185">BV67+BV68-BV69</f>
        <v>254.3675592934085</v>
      </c>
      <c r="BW70" s="12">
        <f>BW67+BW68-BW69</f>
        <v>236.71971800119474</v>
      </c>
      <c r="BX70" s="60"/>
      <c r="BY70" s="12">
        <f t="shared" ref="BY70:BZ70" si="186">BY67+BY68-BY69</f>
        <v>226.15917227143376</v>
      </c>
      <c r="BZ70" s="12">
        <f t="shared" si="186"/>
        <v>229.84145158611639</v>
      </c>
      <c r="CA70" s="12">
        <f t="shared" ref="CA70:CB70" si="187">CA67+CA68-CA69</f>
        <v>248.30870209616228</v>
      </c>
      <c r="CB70" s="12">
        <f t="shared" si="187"/>
        <v>253.86657598514617</v>
      </c>
      <c r="CC70" s="60"/>
      <c r="CD70" s="12">
        <f t="shared" ref="CD70:CE70" si="188">CD67+CD68-CD69</f>
        <v>261.78464797470843</v>
      </c>
      <c r="CE70" s="12">
        <f t="shared" si="188"/>
        <v>281.65147972548243</v>
      </c>
      <c r="CF70" s="12">
        <f>CF67+CF68-CF69</f>
        <v>283.3120388625295</v>
      </c>
      <c r="CG70" s="12">
        <f>CG67+CG68-CG69</f>
        <v>214.53202078569217</v>
      </c>
      <c r="CH70" s="60"/>
      <c r="CI70" s="12">
        <f>CI67+CI68-CI69</f>
        <v>270.44315235170268</v>
      </c>
      <c r="CJ70" s="12">
        <f>CJ67+CJ68-CJ69</f>
        <v>276.67357121350165</v>
      </c>
      <c r="CK70" s="12">
        <f>CK67+CK68-CK69</f>
        <v>313.98109598439009</v>
      </c>
      <c r="CL70" s="12">
        <f>CL67+CL68-CL69</f>
        <v>279.21739286334497</v>
      </c>
      <c r="CM70" s="60"/>
      <c r="CN70" s="12">
        <f>CN67+CN68-CN69</f>
        <v>305.16374688114581</v>
      </c>
      <c r="CO70" s="12">
        <f>CO67+CO68-CO69</f>
        <v>273.34956035321756</v>
      </c>
      <c r="CP70" s="12"/>
      <c r="CQ70" s="12"/>
      <c r="CR70" s="60"/>
    </row>
    <row r="71" spans="1:96" ht="11.15" customHeight="1" thickBot="1" x14ac:dyDescent="0.25">
      <c r="A71" s="6"/>
      <c r="B71" s="11"/>
      <c r="C71" s="11"/>
      <c r="D71" s="11"/>
      <c r="E71" s="11"/>
      <c r="F71" s="68"/>
      <c r="G71" s="11"/>
      <c r="H71" s="11"/>
      <c r="I71" s="11"/>
      <c r="J71" s="11"/>
      <c r="K71" s="68"/>
      <c r="L71" s="11"/>
      <c r="M71" s="11"/>
      <c r="N71" s="11"/>
      <c r="O71" s="11"/>
      <c r="P71" s="68"/>
      <c r="Q71" s="11"/>
      <c r="R71" s="11"/>
      <c r="S71" s="11"/>
      <c r="T71" s="11"/>
      <c r="U71" s="68"/>
      <c r="V71" s="11"/>
      <c r="W71" s="11"/>
      <c r="X71" s="11"/>
      <c r="Y71" s="11"/>
      <c r="Z71" s="68"/>
      <c r="AA71" s="11"/>
      <c r="AB71" s="11"/>
      <c r="AC71" s="11"/>
      <c r="AD71" s="11"/>
      <c r="AE71" s="68"/>
      <c r="AF71" s="11"/>
      <c r="AG71" s="11"/>
      <c r="AH71" s="11"/>
      <c r="AI71" s="11"/>
      <c r="AJ71" s="68"/>
      <c r="AK71" s="11"/>
      <c r="AL71" s="11"/>
      <c r="AM71" s="11"/>
      <c r="AN71" s="11"/>
      <c r="AO71" s="68"/>
      <c r="AP71" s="11"/>
      <c r="AQ71" s="11"/>
      <c r="AR71" s="11"/>
      <c r="AS71" s="11"/>
      <c r="AT71" s="68"/>
      <c r="AU71" s="11"/>
      <c r="AV71" s="11"/>
      <c r="AW71" s="11"/>
      <c r="AX71" s="11"/>
      <c r="AY71" s="68"/>
      <c r="AZ71" s="11"/>
      <c r="BA71" s="11"/>
      <c r="BB71" s="11"/>
      <c r="BC71" s="11"/>
      <c r="BD71" s="68"/>
      <c r="BE71" s="11"/>
      <c r="BF71" s="11"/>
      <c r="BG71" s="11"/>
      <c r="BH71" s="11"/>
      <c r="BI71" s="68"/>
      <c r="BJ71" s="11"/>
      <c r="BK71" s="11"/>
      <c r="BL71" s="11"/>
      <c r="BM71" s="11"/>
      <c r="BN71" s="68"/>
      <c r="BO71" s="11"/>
      <c r="BP71" s="93"/>
      <c r="BQ71" s="11"/>
      <c r="BR71" s="11"/>
      <c r="BS71" s="68"/>
      <c r="BT71" s="11"/>
      <c r="BU71" s="93"/>
      <c r="BV71" s="93"/>
      <c r="BW71" s="11"/>
      <c r="BX71" s="68"/>
      <c r="BY71" s="11"/>
      <c r="BZ71" s="93"/>
      <c r="CA71" s="93"/>
      <c r="CB71" s="11"/>
      <c r="CC71" s="68"/>
      <c r="CD71" s="11"/>
      <c r="CE71" s="93"/>
      <c r="CF71" s="93"/>
      <c r="CG71" s="11"/>
      <c r="CH71" s="68"/>
      <c r="CM71" s="68"/>
      <c r="CR71" s="68"/>
    </row>
  </sheetData>
  <mergeCells count="38">
    <mergeCell ref="CN1:CR1"/>
    <mergeCell ref="CN3:CQ3"/>
    <mergeCell ref="CI1:CM1"/>
    <mergeCell ref="CI3:CL3"/>
    <mergeCell ref="AK1:AO1"/>
    <mergeCell ref="AP1:AT1"/>
    <mergeCell ref="BO1:BS1"/>
    <mergeCell ref="BO3:BR3"/>
    <mergeCell ref="AK3:AN3"/>
    <mergeCell ref="AP3:AS3"/>
    <mergeCell ref="CD1:CH1"/>
    <mergeCell ref="CD3:CG3"/>
    <mergeCell ref="AU3:AX3"/>
    <mergeCell ref="AZ3:BC3"/>
    <mergeCell ref="AU1:AY1"/>
    <mergeCell ref="BJ1:BN1"/>
    <mergeCell ref="AF3:AI3"/>
    <mergeCell ref="V1:Z1"/>
    <mergeCell ref="AA1:AE1"/>
    <mergeCell ref="AF1:AJ1"/>
    <mergeCell ref="BE3:BH3"/>
    <mergeCell ref="AZ1:BD1"/>
    <mergeCell ref="BY1:CC1"/>
    <mergeCell ref="BY3:CB3"/>
    <mergeCell ref="BT1:BX1"/>
    <mergeCell ref="BT3:BW3"/>
    <mergeCell ref="B1:F1"/>
    <mergeCell ref="B3:E3"/>
    <mergeCell ref="Q1:U1"/>
    <mergeCell ref="Q3:T3"/>
    <mergeCell ref="G1:K1"/>
    <mergeCell ref="L1:P1"/>
    <mergeCell ref="G3:J3"/>
    <mergeCell ref="L3:O3"/>
    <mergeCell ref="BJ3:BM3"/>
    <mergeCell ref="BE1:BI1"/>
    <mergeCell ref="V3:Y3"/>
    <mergeCell ref="AA3:AD3"/>
  </mergeCells>
  <phoneticPr fontId="5" type="noConversion"/>
  <printOptions horizontalCentered="1"/>
  <pageMargins left="0.25" right="0.25" top="0.75" bottom="0.75" header="0.3" footer="0.3"/>
  <pageSetup paperSize="5" scale="66" orientation="landscape" r:id="rId1"/>
  <headerFooter alignWithMargins="0">
    <oddHeader>&amp;L&amp;G</oddHeader>
  </headerFooter>
  <ignoredErrors>
    <ignoredError sqref="U10 U16 F23:U23 K35:U35 K46:BI72 BN41:BN73 F35:F66 K39:U45 BE41:BI45 BS10:BS69" formula="1"/>
    <ignoredError sqref="C11:T15 C10:E10 C16:E16 V11:AL15 V17:AL22 V24:AL34 V36:AL38 AM11:BD15 AM17:BD22 AP16:AT16 AM24:BD34 AM36:BD38 BO16:BP16 BO10:BP10 BJ16:BM16 BJ10:BM10 BE11:BM15 BO11:BO15 BE22:BM22 BO23:BP26 BE17:BM21 BO17:BP17 BE24:BM34 BJ23:BM23 BE36:BM38 BJ35:BM35 BJ39:BM40 BO22 BO18:BO21 BO35:BP36 BO27:BO34 BO39:BP40 BO37:BO38 BR10 BR16 BQ10:BQ16 BT10:BU10 BT16:BU16" formulaRange="1"/>
    <ignoredError sqref="F16:T16 F10:T10 V39:AL45 V35:AL35 V23:AL23 V16:AL16 V10:AL10 AM39:BD45 AM35:BD35 AM23:BD23 AM16:AO16 AM10:BD10 AU16:BD16 BE39:BI40 BE35:BI35 BE23:BI23 BE10:BI10 BE16:BI16 BN17:BN21 BN22:BN40 BN11:BN15 BN10 BN16" formula="1" formulaRange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A1:CR73"/>
  <sheetViews>
    <sheetView zoomScale="110" zoomScaleNormal="110" zoomScaleSheetLayoutView="100" workbookViewId="0">
      <pane xSplit="1" ySplit="4" topLeftCell="BD5" activePane="bottomRight" state="frozen"/>
      <selection activeCell="A121" sqref="A121"/>
      <selection pane="topRight" activeCell="A121" sqref="A121"/>
      <selection pane="bottomLeft" activeCell="A121" sqref="A121"/>
      <selection pane="bottomRight" activeCell="CO67" sqref="CO67"/>
    </sheetView>
  </sheetViews>
  <sheetFormatPr defaultColWidth="9.7265625" defaultRowHeight="11.15" customHeight="1" outlineLevelCol="1" x14ac:dyDescent="0.2"/>
  <cols>
    <col min="1" max="1" width="64.7265625" style="1" customWidth="1"/>
    <col min="2" max="5" width="9.7265625" style="1" hidden="1" customWidth="1" outlineLevel="1"/>
    <col min="6" max="6" width="10" style="1" bestFit="1" customWidth="1" collapsed="1"/>
    <col min="7" max="10" width="9.7265625" style="1" hidden="1" customWidth="1" outlineLevel="1"/>
    <col min="11" max="11" width="10" style="1" bestFit="1" customWidth="1" collapsed="1"/>
    <col min="12" max="15" width="9.7265625" style="1" hidden="1" customWidth="1" outlineLevel="1"/>
    <col min="16" max="16" width="10" style="1" bestFit="1" customWidth="1" collapsed="1"/>
    <col min="17" max="20" width="9.7265625" style="1" hidden="1" customWidth="1" outlineLevel="1"/>
    <col min="21" max="21" width="10" style="1" bestFit="1" customWidth="1" collapsed="1"/>
    <col min="22" max="25" width="9.7265625" style="1" hidden="1" customWidth="1" outlineLevel="1"/>
    <col min="26" max="26" width="10.7265625" style="1" bestFit="1" customWidth="1" collapsed="1"/>
    <col min="27" max="30" width="9.7265625" style="1" hidden="1" customWidth="1" outlineLevel="1"/>
    <col min="31" max="31" width="10.7265625" style="1" bestFit="1" customWidth="1" collapsed="1"/>
    <col min="32" max="35" width="9.7265625" style="1" hidden="1" customWidth="1" outlineLevel="1"/>
    <col min="36" max="36" width="10.7265625" style="1" bestFit="1" customWidth="1" collapsed="1"/>
    <col min="37" max="40" width="9.7265625" style="1" hidden="1" customWidth="1" outlineLevel="1"/>
    <col min="41" max="41" width="10.7265625" style="1" bestFit="1" customWidth="1" collapsed="1"/>
    <col min="42" max="45" width="9.7265625" style="1" hidden="1" customWidth="1" outlineLevel="1"/>
    <col min="46" max="46" width="10.7265625" style="1" bestFit="1" customWidth="1" collapsed="1"/>
    <col min="47" max="50" width="9.7265625" style="1" hidden="1" customWidth="1" outlineLevel="1"/>
    <col min="51" max="51" width="10.7265625" style="1" bestFit="1" customWidth="1" collapsed="1"/>
    <col min="52" max="55" width="9.7265625" style="1" hidden="1" customWidth="1" outlineLevel="1"/>
    <col min="56" max="56" width="10.7265625" style="1" bestFit="1" customWidth="1" collapsed="1"/>
    <col min="57" max="60" width="9.7265625" style="1" hidden="1" customWidth="1" outlineLevel="1"/>
    <col min="61" max="61" width="10.7265625" style="1" bestFit="1" customWidth="1" collapsed="1"/>
    <col min="62" max="65" width="9.7265625" style="1" hidden="1" customWidth="1" outlineLevel="1"/>
    <col min="66" max="66" width="10.7265625" style="1" bestFit="1" customWidth="1" collapsed="1"/>
    <col min="67" max="70" width="9.7265625" style="1" hidden="1" customWidth="1" outlineLevel="1"/>
    <col min="71" max="71" width="10.7265625" style="1" bestFit="1" customWidth="1" collapsed="1"/>
    <col min="72" max="75" width="9.7265625" style="1" hidden="1" customWidth="1" outlineLevel="1"/>
    <col min="76" max="76" width="10.7265625" style="1" bestFit="1" customWidth="1" collapsed="1"/>
    <col min="77" max="80" width="9.7265625" style="1" hidden="1" customWidth="1" outlineLevel="1"/>
    <col min="81" max="81" width="10.7265625" style="1" bestFit="1" customWidth="1" collapsed="1"/>
    <col min="82" max="85" width="9.7265625" style="1" hidden="1" customWidth="1" outlineLevel="1"/>
    <col min="86" max="86" width="10" style="1" bestFit="1" customWidth="1" collapsed="1"/>
    <col min="87" max="87" width="11.54296875" style="1" hidden="1" customWidth="1" outlineLevel="1"/>
    <col min="88" max="90" width="9.7265625" style="1" hidden="1" customWidth="1" outlineLevel="1"/>
    <col min="91" max="91" width="9.7265625" style="1" customWidth="1" collapsed="1"/>
    <col min="92" max="92" width="11.54296875" style="1" customWidth="1" outlineLevel="1"/>
    <col min="93" max="93" width="9.7265625" style="1" customWidth="1" outlineLevel="1"/>
    <col min="94" max="95" width="9.7265625" style="1" outlineLevel="1"/>
    <col min="96" max="16384" width="9.7265625" style="1"/>
  </cols>
  <sheetData>
    <row r="1" spans="1:96" ht="11.15" customHeight="1" thickBot="1" x14ac:dyDescent="0.3">
      <c r="A1" s="22" t="s">
        <v>44</v>
      </c>
      <c r="B1" s="118" t="s">
        <v>40</v>
      </c>
      <c r="C1" s="119"/>
      <c r="D1" s="119"/>
      <c r="E1" s="119"/>
      <c r="F1" s="120"/>
      <c r="G1" s="118" t="s">
        <v>41</v>
      </c>
      <c r="H1" s="119"/>
      <c r="I1" s="119"/>
      <c r="J1" s="119"/>
      <c r="K1" s="120"/>
      <c r="L1" s="118" t="s">
        <v>42</v>
      </c>
      <c r="M1" s="119"/>
      <c r="N1" s="119"/>
      <c r="O1" s="119"/>
      <c r="P1" s="120"/>
      <c r="Q1" s="118" t="s">
        <v>43</v>
      </c>
      <c r="R1" s="119"/>
      <c r="S1" s="119"/>
      <c r="T1" s="119"/>
      <c r="U1" s="120"/>
      <c r="V1" s="118" t="s">
        <v>11</v>
      </c>
      <c r="W1" s="119"/>
      <c r="X1" s="119"/>
      <c r="Y1" s="119"/>
      <c r="Z1" s="120"/>
      <c r="AA1" s="118" t="s">
        <v>10</v>
      </c>
      <c r="AB1" s="119"/>
      <c r="AC1" s="119"/>
      <c r="AD1" s="119"/>
      <c r="AE1" s="120"/>
      <c r="AF1" s="118" t="s">
        <v>9</v>
      </c>
      <c r="AG1" s="119"/>
      <c r="AH1" s="119"/>
      <c r="AI1" s="119"/>
      <c r="AJ1" s="120"/>
      <c r="AK1" s="118" t="s">
        <v>8</v>
      </c>
      <c r="AL1" s="119"/>
      <c r="AM1" s="119"/>
      <c r="AN1" s="119"/>
      <c r="AO1" s="120"/>
      <c r="AP1" s="118" t="s">
        <v>7</v>
      </c>
      <c r="AQ1" s="119"/>
      <c r="AR1" s="119"/>
      <c r="AS1" s="119"/>
      <c r="AT1" s="120"/>
      <c r="AU1" s="118" t="s">
        <v>6</v>
      </c>
      <c r="AV1" s="119"/>
      <c r="AW1" s="119"/>
      <c r="AX1" s="119"/>
      <c r="AY1" s="120"/>
      <c r="AZ1" s="118" t="s">
        <v>22</v>
      </c>
      <c r="BA1" s="119"/>
      <c r="BB1" s="119"/>
      <c r="BC1" s="119"/>
      <c r="BD1" s="120"/>
      <c r="BE1" s="118" t="s">
        <v>122</v>
      </c>
      <c r="BF1" s="119"/>
      <c r="BG1" s="119"/>
      <c r="BH1" s="119"/>
      <c r="BI1" s="120"/>
      <c r="BJ1" s="118" t="s">
        <v>153</v>
      </c>
      <c r="BK1" s="119"/>
      <c r="BL1" s="119"/>
      <c r="BM1" s="119"/>
      <c r="BN1" s="120"/>
      <c r="BO1" s="118" t="s">
        <v>162</v>
      </c>
      <c r="BP1" s="119"/>
      <c r="BQ1" s="119"/>
      <c r="BR1" s="119"/>
      <c r="BS1" s="120"/>
      <c r="BT1" s="118" t="s">
        <v>215</v>
      </c>
      <c r="BU1" s="119"/>
      <c r="BV1" s="119"/>
      <c r="BW1" s="119"/>
      <c r="BX1" s="120"/>
      <c r="BY1" s="118" t="s">
        <v>221</v>
      </c>
      <c r="BZ1" s="119"/>
      <c r="CA1" s="119"/>
      <c r="CB1" s="119"/>
      <c r="CC1" s="120"/>
      <c r="CD1" s="118" t="s">
        <v>222</v>
      </c>
      <c r="CE1" s="119"/>
      <c r="CF1" s="119"/>
      <c r="CG1" s="119"/>
      <c r="CH1" s="120"/>
      <c r="CI1" s="118" t="s">
        <v>242</v>
      </c>
      <c r="CJ1" s="119"/>
      <c r="CK1" s="119"/>
      <c r="CL1" s="119"/>
      <c r="CM1" s="120"/>
      <c r="CN1" s="118" t="s">
        <v>254</v>
      </c>
      <c r="CO1" s="119"/>
      <c r="CP1" s="119"/>
      <c r="CQ1" s="119"/>
      <c r="CR1" s="120"/>
    </row>
    <row r="2" spans="1:96" ht="11.15" customHeight="1" thickBot="1" x14ac:dyDescent="0.3">
      <c r="A2" s="1" t="s">
        <v>196</v>
      </c>
      <c r="B2" s="2"/>
      <c r="G2" s="2"/>
      <c r="BK2" s="2"/>
      <c r="BP2" s="2"/>
      <c r="BU2" s="2"/>
      <c r="BZ2" s="2"/>
      <c r="CE2" s="2"/>
      <c r="CJ2" s="2"/>
      <c r="CO2" s="2"/>
    </row>
    <row r="3" spans="1:96" ht="11.15" customHeight="1" x14ac:dyDescent="0.25">
      <c r="A3" s="1" t="s">
        <v>39</v>
      </c>
      <c r="B3" s="121" t="s">
        <v>75</v>
      </c>
      <c r="C3" s="121"/>
      <c r="D3" s="121"/>
      <c r="E3" s="121"/>
      <c r="F3" s="56" t="s">
        <v>5</v>
      </c>
      <c r="G3" s="121" t="s">
        <v>75</v>
      </c>
      <c r="H3" s="121"/>
      <c r="I3" s="121"/>
      <c r="J3" s="121"/>
      <c r="K3" s="56" t="s">
        <v>5</v>
      </c>
      <c r="L3" s="121" t="s">
        <v>75</v>
      </c>
      <c r="M3" s="121"/>
      <c r="N3" s="121"/>
      <c r="O3" s="121"/>
      <c r="P3" s="56" t="s">
        <v>5</v>
      </c>
      <c r="Q3" s="121" t="s">
        <v>75</v>
      </c>
      <c r="R3" s="121"/>
      <c r="S3" s="121"/>
      <c r="T3" s="121"/>
      <c r="U3" s="56" t="s">
        <v>5</v>
      </c>
      <c r="V3" s="121" t="s">
        <v>75</v>
      </c>
      <c r="W3" s="121"/>
      <c r="X3" s="121"/>
      <c r="Y3" s="121"/>
      <c r="Z3" s="56" t="s">
        <v>5</v>
      </c>
      <c r="AA3" s="121" t="s">
        <v>75</v>
      </c>
      <c r="AB3" s="121"/>
      <c r="AC3" s="121"/>
      <c r="AD3" s="121"/>
      <c r="AE3" s="56" t="s">
        <v>5</v>
      </c>
      <c r="AF3" s="121" t="s">
        <v>75</v>
      </c>
      <c r="AG3" s="121"/>
      <c r="AH3" s="121"/>
      <c r="AI3" s="121"/>
      <c r="AJ3" s="56" t="s">
        <v>5</v>
      </c>
      <c r="AK3" s="121" t="s">
        <v>75</v>
      </c>
      <c r="AL3" s="121"/>
      <c r="AM3" s="121"/>
      <c r="AN3" s="121"/>
      <c r="AO3" s="56" t="s">
        <v>5</v>
      </c>
      <c r="AP3" s="121" t="s">
        <v>75</v>
      </c>
      <c r="AQ3" s="121"/>
      <c r="AR3" s="121"/>
      <c r="AS3" s="121"/>
      <c r="AT3" s="56" t="s">
        <v>5</v>
      </c>
      <c r="AU3" s="121" t="s">
        <v>75</v>
      </c>
      <c r="AV3" s="121"/>
      <c r="AW3" s="121"/>
      <c r="AX3" s="121"/>
      <c r="AY3" s="56" t="s">
        <v>5</v>
      </c>
      <c r="AZ3" s="121" t="s">
        <v>75</v>
      </c>
      <c r="BA3" s="121"/>
      <c r="BB3" s="121"/>
      <c r="BC3" s="121"/>
      <c r="BD3" s="56" t="s">
        <v>5</v>
      </c>
      <c r="BE3" s="121" t="s">
        <v>75</v>
      </c>
      <c r="BF3" s="121"/>
      <c r="BG3" s="121"/>
      <c r="BH3" s="121"/>
      <c r="BI3" s="56" t="s">
        <v>5</v>
      </c>
      <c r="BJ3" s="121" t="s">
        <v>0</v>
      </c>
      <c r="BK3" s="121"/>
      <c r="BL3" s="121"/>
      <c r="BM3" s="121"/>
      <c r="BN3" s="56" t="s">
        <v>5</v>
      </c>
      <c r="BO3" s="121" t="s">
        <v>0</v>
      </c>
      <c r="BP3" s="121"/>
      <c r="BQ3" s="121"/>
      <c r="BR3" s="121"/>
      <c r="BS3" s="56" t="s">
        <v>5</v>
      </c>
      <c r="BT3" s="121" t="s">
        <v>0</v>
      </c>
      <c r="BU3" s="121"/>
      <c r="BV3" s="121"/>
      <c r="BW3" s="121"/>
      <c r="BX3" s="56" t="s">
        <v>5</v>
      </c>
      <c r="BY3" s="121" t="s">
        <v>0</v>
      </c>
      <c r="BZ3" s="121"/>
      <c r="CA3" s="121"/>
      <c r="CB3" s="121"/>
      <c r="CC3" s="56" t="s">
        <v>5</v>
      </c>
      <c r="CD3" s="121" t="s">
        <v>0</v>
      </c>
      <c r="CE3" s="121"/>
      <c r="CF3" s="121"/>
      <c r="CG3" s="121"/>
      <c r="CH3" s="56" t="s">
        <v>5</v>
      </c>
      <c r="CI3" s="121" t="s">
        <v>0</v>
      </c>
      <c r="CJ3" s="121"/>
      <c r="CK3" s="121"/>
      <c r="CL3" s="121"/>
      <c r="CM3" s="56" t="s">
        <v>5</v>
      </c>
      <c r="CN3" s="121" t="s">
        <v>0</v>
      </c>
      <c r="CO3" s="121"/>
      <c r="CP3" s="121"/>
      <c r="CQ3" s="121"/>
      <c r="CR3" s="56" t="s">
        <v>5</v>
      </c>
    </row>
    <row r="4" spans="1:96" s="2" customFormat="1" ht="11.15" customHeight="1" x14ac:dyDescent="0.25">
      <c r="A4" s="6"/>
      <c r="B4" s="3">
        <v>38807</v>
      </c>
      <c r="C4" s="3">
        <v>38898</v>
      </c>
      <c r="D4" s="3">
        <v>38990</v>
      </c>
      <c r="E4" s="3">
        <v>39082</v>
      </c>
      <c r="F4" s="57">
        <v>39082</v>
      </c>
      <c r="G4" s="3">
        <v>39172</v>
      </c>
      <c r="H4" s="3">
        <v>39263</v>
      </c>
      <c r="I4" s="3">
        <v>39355</v>
      </c>
      <c r="J4" s="3">
        <v>39447</v>
      </c>
      <c r="K4" s="57">
        <v>39447</v>
      </c>
      <c r="L4" s="3">
        <v>39538</v>
      </c>
      <c r="M4" s="3">
        <v>39629</v>
      </c>
      <c r="N4" s="3">
        <v>39721</v>
      </c>
      <c r="O4" s="3">
        <v>39813</v>
      </c>
      <c r="P4" s="57">
        <v>39813</v>
      </c>
      <c r="Q4" s="3">
        <v>39903</v>
      </c>
      <c r="R4" s="3">
        <v>39994</v>
      </c>
      <c r="S4" s="3">
        <v>40086</v>
      </c>
      <c r="T4" s="3">
        <v>40178</v>
      </c>
      <c r="U4" s="57">
        <v>40178</v>
      </c>
      <c r="V4" s="3">
        <v>40268</v>
      </c>
      <c r="W4" s="3">
        <v>40359</v>
      </c>
      <c r="X4" s="3">
        <v>40451</v>
      </c>
      <c r="Y4" s="3">
        <v>40543</v>
      </c>
      <c r="Z4" s="57">
        <v>40543</v>
      </c>
      <c r="AA4" s="3">
        <v>40633</v>
      </c>
      <c r="AB4" s="3">
        <v>40724</v>
      </c>
      <c r="AC4" s="3">
        <v>40816</v>
      </c>
      <c r="AD4" s="3">
        <v>40908</v>
      </c>
      <c r="AE4" s="57">
        <v>40908</v>
      </c>
      <c r="AF4" s="3">
        <v>40999</v>
      </c>
      <c r="AG4" s="3">
        <v>41090</v>
      </c>
      <c r="AH4" s="3">
        <v>41182</v>
      </c>
      <c r="AI4" s="3">
        <v>41274</v>
      </c>
      <c r="AJ4" s="57">
        <v>41274</v>
      </c>
      <c r="AK4" s="3">
        <v>41364</v>
      </c>
      <c r="AL4" s="3">
        <v>41455</v>
      </c>
      <c r="AM4" s="3">
        <v>41547</v>
      </c>
      <c r="AN4" s="3">
        <v>41639</v>
      </c>
      <c r="AO4" s="57">
        <v>41639</v>
      </c>
      <c r="AP4" s="3">
        <v>41729</v>
      </c>
      <c r="AQ4" s="3">
        <v>41820</v>
      </c>
      <c r="AR4" s="3">
        <v>41912</v>
      </c>
      <c r="AS4" s="3">
        <v>42004</v>
      </c>
      <c r="AT4" s="57">
        <v>42004</v>
      </c>
      <c r="AU4" s="3">
        <v>42094</v>
      </c>
      <c r="AV4" s="3">
        <v>42185</v>
      </c>
      <c r="AW4" s="3">
        <v>42277</v>
      </c>
      <c r="AX4" s="3">
        <v>42369</v>
      </c>
      <c r="AY4" s="57">
        <v>42369</v>
      </c>
      <c r="AZ4" s="3">
        <v>42460</v>
      </c>
      <c r="BA4" s="3">
        <v>42551</v>
      </c>
      <c r="BB4" s="3">
        <v>42643</v>
      </c>
      <c r="BC4" s="3">
        <v>42735</v>
      </c>
      <c r="BD4" s="57">
        <v>42735</v>
      </c>
      <c r="BE4" s="3">
        <v>42825</v>
      </c>
      <c r="BF4" s="3">
        <v>42916</v>
      </c>
      <c r="BG4" s="3">
        <v>43008</v>
      </c>
      <c r="BH4" s="3">
        <v>43100</v>
      </c>
      <c r="BI4" s="57">
        <v>42735</v>
      </c>
      <c r="BJ4" s="3">
        <v>43190</v>
      </c>
      <c r="BK4" s="3">
        <v>43281</v>
      </c>
      <c r="BL4" s="3">
        <v>43373</v>
      </c>
      <c r="BM4" s="3">
        <v>43465</v>
      </c>
      <c r="BN4" s="57">
        <v>43465</v>
      </c>
      <c r="BO4" s="3">
        <v>43555</v>
      </c>
      <c r="BP4" s="3">
        <v>43646</v>
      </c>
      <c r="BQ4" s="3">
        <v>43738</v>
      </c>
      <c r="BR4" s="3">
        <v>43830</v>
      </c>
      <c r="BS4" s="57">
        <v>43830</v>
      </c>
      <c r="BT4" s="3">
        <v>43921</v>
      </c>
      <c r="BU4" s="3">
        <v>44012</v>
      </c>
      <c r="BV4" s="3">
        <v>44104</v>
      </c>
      <c r="BW4" s="3">
        <v>44196</v>
      </c>
      <c r="BX4" s="57">
        <v>44196</v>
      </c>
      <c r="BY4" s="3">
        <v>44286</v>
      </c>
      <c r="BZ4" s="3">
        <v>44377</v>
      </c>
      <c r="CA4" s="3">
        <v>44469</v>
      </c>
      <c r="CB4" s="3">
        <v>44561</v>
      </c>
      <c r="CC4" s="57">
        <v>44561</v>
      </c>
      <c r="CD4" s="3">
        <v>44651</v>
      </c>
      <c r="CE4" s="3">
        <v>44742</v>
      </c>
      <c r="CF4" s="3">
        <v>44834</v>
      </c>
      <c r="CG4" s="3">
        <v>44926</v>
      </c>
      <c r="CH4" s="57">
        <v>44926</v>
      </c>
      <c r="CI4" s="3">
        <v>45016</v>
      </c>
      <c r="CJ4" s="3">
        <v>45107</v>
      </c>
      <c r="CK4" s="3">
        <v>45199</v>
      </c>
      <c r="CL4" s="3">
        <v>45291</v>
      </c>
      <c r="CM4" s="57">
        <v>45291</v>
      </c>
      <c r="CN4" s="3">
        <v>45382</v>
      </c>
      <c r="CO4" s="3">
        <v>45473</v>
      </c>
      <c r="CP4" s="3">
        <v>45565</v>
      </c>
      <c r="CQ4" s="3">
        <v>45657</v>
      </c>
      <c r="CR4" s="57">
        <v>45657</v>
      </c>
    </row>
    <row r="5" spans="1:96" s="2" customFormat="1" ht="11.15" customHeight="1" x14ac:dyDescent="0.25">
      <c r="A5" s="35" t="s">
        <v>198</v>
      </c>
      <c r="B5" s="4"/>
      <c r="C5" s="4"/>
      <c r="D5" s="5"/>
      <c r="E5" s="5"/>
      <c r="F5" s="69"/>
      <c r="G5" s="4"/>
      <c r="H5" s="4"/>
      <c r="I5" s="5"/>
      <c r="J5" s="5"/>
      <c r="K5" s="69"/>
      <c r="L5" s="4"/>
      <c r="M5" s="4"/>
      <c r="N5" s="5"/>
      <c r="O5" s="5"/>
      <c r="P5" s="69"/>
      <c r="Q5" s="4"/>
      <c r="R5" s="4"/>
      <c r="S5" s="5"/>
      <c r="T5" s="5"/>
      <c r="U5" s="69"/>
      <c r="V5" s="4"/>
      <c r="W5" s="4"/>
      <c r="X5" s="5"/>
      <c r="Y5" s="5"/>
      <c r="Z5" s="69"/>
      <c r="AA5" s="4"/>
      <c r="AB5" s="4"/>
      <c r="AC5" s="5"/>
      <c r="AD5" s="5"/>
      <c r="AE5" s="69"/>
      <c r="AF5" s="4"/>
      <c r="AG5" s="4"/>
      <c r="AH5" s="5"/>
      <c r="AI5" s="5"/>
      <c r="AJ5" s="69"/>
      <c r="AK5" s="4"/>
      <c r="AL5" s="4"/>
      <c r="AM5" s="5"/>
      <c r="AN5" s="5"/>
      <c r="AO5" s="69"/>
      <c r="AP5" s="4"/>
      <c r="AQ5" s="4"/>
      <c r="AR5" s="5"/>
      <c r="AS5" s="5"/>
      <c r="AT5" s="69"/>
      <c r="AU5" s="4"/>
      <c r="AV5" s="4"/>
      <c r="AW5" s="5"/>
      <c r="AX5" s="5"/>
      <c r="AY5" s="69"/>
      <c r="AZ5" s="4"/>
      <c r="BA5" s="4"/>
      <c r="BB5" s="5"/>
      <c r="BC5" s="5"/>
      <c r="BD5" s="69"/>
      <c r="BE5" s="4"/>
      <c r="BF5" s="4"/>
      <c r="BG5" s="5"/>
      <c r="BH5" s="5"/>
      <c r="BI5" s="69"/>
      <c r="BJ5" s="4"/>
      <c r="BK5" s="4"/>
      <c r="BL5" s="5"/>
      <c r="BM5" s="5"/>
      <c r="BN5" s="69"/>
      <c r="BO5" s="4"/>
      <c r="BP5" s="4"/>
      <c r="BQ5" s="5"/>
      <c r="BR5" s="5"/>
      <c r="BS5" s="69"/>
      <c r="BT5" s="4"/>
      <c r="BU5" s="4"/>
      <c r="BV5" s="5"/>
      <c r="BW5" s="5"/>
      <c r="BX5" s="69"/>
      <c r="BY5" s="4"/>
      <c r="BZ5" s="4"/>
      <c r="CA5" s="5"/>
      <c r="CB5" s="5"/>
      <c r="CC5" s="69"/>
      <c r="CD5" s="4"/>
      <c r="CE5" s="4"/>
      <c r="CF5" s="5"/>
      <c r="CG5" s="5"/>
      <c r="CH5" s="69"/>
      <c r="CM5" s="69"/>
      <c r="CR5" s="69"/>
    </row>
    <row r="6" spans="1:96" s="2" customFormat="1" ht="11.15" customHeight="1" x14ac:dyDescent="0.25">
      <c r="A6" s="7" t="s">
        <v>24</v>
      </c>
      <c r="B6" s="8">
        <f>'Income Statement'!B33</f>
        <v>2549</v>
      </c>
      <c r="C6" s="8">
        <f>'Income Statement'!C33+B6</f>
        <v>6814</v>
      </c>
      <c r="D6" s="8">
        <f>'Income Statement'!D33+C6</f>
        <v>11043</v>
      </c>
      <c r="E6" s="8">
        <f>'Income Statement'!E33+D6</f>
        <v>8972</v>
      </c>
      <c r="F6" s="58">
        <f>E6</f>
        <v>8972</v>
      </c>
      <c r="G6" s="8">
        <f>'Income Statement'!G30</f>
        <v>6985</v>
      </c>
      <c r="H6" s="8">
        <f>'Income Statement'!H30+G6</f>
        <v>13589</v>
      </c>
      <c r="I6" s="8">
        <f>'Income Statement'!I30+H6</f>
        <v>23405</v>
      </c>
      <c r="J6" s="8">
        <f>'Income Statement'!J30+I6</f>
        <v>32088</v>
      </c>
      <c r="K6" s="58">
        <f>J6</f>
        <v>32088</v>
      </c>
      <c r="L6" s="8">
        <f>'Income Statement'!L30</f>
        <v>8495</v>
      </c>
      <c r="M6" s="8">
        <f>'Income Statement'!M30+L6</f>
        <v>17516</v>
      </c>
      <c r="N6" s="8">
        <f>'Income Statement'!N30+M6</f>
        <v>28998</v>
      </c>
      <c r="O6" s="8">
        <f>'Income Statement'!O30+N6</f>
        <v>38453</v>
      </c>
      <c r="P6" s="58">
        <f>O6</f>
        <v>38453</v>
      </c>
      <c r="Q6" s="8">
        <f>'Income Statement'!Q30</f>
        <v>1026</v>
      </c>
      <c r="R6" s="8">
        <f>'Income Statement'!R30+Q6</f>
        <v>-139</v>
      </c>
      <c r="S6" s="8">
        <f>'Income Statement'!S30+R6</f>
        <v>2127</v>
      </c>
      <c r="T6" s="8">
        <f>'Income Statement'!T30+S6</f>
        <v>5284</v>
      </c>
      <c r="U6" s="58">
        <f>T6</f>
        <v>5284</v>
      </c>
      <c r="V6" s="8">
        <f>'Income Statement'!V30</f>
        <v>3424</v>
      </c>
      <c r="W6" s="8">
        <f>'Income Statement'!W30+V6</f>
        <v>13769</v>
      </c>
      <c r="X6" s="8">
        <f>'Income Statement'!X30+W6</f>
        <v>27084</v>
      </c>
      <c r="Y6" s="8">
        <f>'Income Statement'!Y30+X6</f>
        <v>54352</v>
      </c>
      <c r="Z6" s="58">
        <f>Y6</f>
        <v>54352</v>
      </c>
      <c r="AA6" s="8">
        <f>'Income Statement'!AA30</f>
        <v>23378</v>
      </c>
      <c r="AB6" s="8">
        <f>'Income Statement'!AB30+AA6</f>
        <v>54885</v>
      </c>
      <c r="AC6" s="8">
        <f>'Income Statement'!AC30+AB6</f>
        <v>89154</v>
      </c>
      <c r="AD6" s="8">
        <f>'Income Statement'!AD30+AC6</f>
        <v>121009</v>
      </c>
      <c r="AE6" s="58">
        <f>AD6</f>
        <v>121009</v>
      </c>
      <c r="AF6" s="8">
        <f>'Income Statement'!AF30</f>
        <v>30548</v>
      </c>
      <c r="AG6" s="8">
        <f>'Income Statement'!AG30+AF6</f>
        <v>70397</v>
      </c>
      <c r="AH6" s="8">
        <f>'Income Statement'!AH30+AG6</f>
        <v>112832</v>
      </c>
      <c r="AI6" s="8">
        <f>'Income Statement'!AI30+AH6</f>
        <v>147744</v>
      </c>
      <c r="AJ6" s="58">
        <f>AI6</f>
        <v>147744</v>
      </c>
      <c r="AK6" s="8">
        <f>'Income Statement'!AK30</f>
        <v>35127</v>
      </c>
      <c r="AL6" s="8">
        <f>'Income Statement'!AL30+AK6</f>
        <v>76847</v>
      </c>
      <c r="AM6" s="8">
        <f>'Income Statement'!AM30+AL6</f>
        <v>119185</v>
      </c>
      <c r="AN6" s="8">
        <f>'Income Statement'!AN30+AM6</f>
        <v>155780</v>
      </c>
      <c r="AO6" s="58">
        <f>AN6</f>
        <v>155780</v>
      </c>
      <c r="AP6" s="8">
        <f>'Income Statement'!AP30</f>
        <v>40531</v>
      </c>
      <c r="AQ6" s="8">
        <f>'Income Statement'!AQ30+AP6</f>
        <v>88814</v>
      </c>
      <c r="AR6" s="8">
        <f>'Income Statement'!AR30+AQ6</f>
        <v>144014</v>
      </c>
      <c r="AS6" s="8">
        <f>'Income Statement'!AS30+AR6</f>
        <v>200445</v>
      </c>
      <c r="AT6" s="58">
        <f>AS6</f>
        <v>200445</v>
      </c>
      <c r="AU6" s="8">
        <f>'Income Statement'!AU30</f>
        <v>57346</v>
      </c>
      <c r="AV6" s="8">
        <f>'Income Statement'!AV30+AU6</f>
        <v>118590</v>
      </c>
      <c r="AW6" s="8">
        <v>181349</v>
      </c>
      <c r="AX6" s="8">
        <f>'Income Statement'!AX30+AW6</f>
        <v>242027</v>
      </c>
      <c r="AY6" s="58">
        <f>AX6</f>
        <v>242027</v>
      </c>
      <c r="AZ6" s="8">
        <f>'Income Statement'!AZ30</f>
        <v>49328</v>
      </c>
      <c r="BA6" s="8">
        <f>'Income Statement'!BA30+AZ6</f>
        <v>116360</v>
      </c>
      <c r="BB6" s="8">
        <f>'Income Statement'!BB30+BA6</f>
        <v>185587</v>
      </c>
      <c r="BC6" s="8">
        <v>260716</v>
      </c>
      <c r="BD6" s="58">
        <f>BC6</f>
        <v>260716</v>
      </c>
      <c r="BE6" s="8">
        <f>'Income Statement'!BE30</f>
        <v>74932</v>
      </c>
      <c r="BF6" s="8">
        <f>'Income Statement'!BF30+BE6</f>
        <v>179035</v>
      </c>
      <c r="BG6" s="8">
        <f>'Income Statement'!BG30+BF6</f>
        <v>294632</v>
      </c>
      <c r="BH6" s="8">
        <f>'Income Statement'!BH30+BG6</f>
        <v>347588</v>
      </c>
      <c r="BI6" s="58">
        <f>BH6</f>
        <v>347588</v>
      </c>
      <c r="BJ6" s="8">
        <f>'Income Statement'!BJ30</f>
        <v>106334</v>
      </c>
      <c r="BK6" s="8">
        <f>'Income Statement'!BK30+BJ6</f>
        <v>227951</v>
      </c>
      <c r="BL6" s="8">
        <f>'Income Statement'!BL30+BK6</f>
        <v>328703</v>
      </c>
      <c r="BM6" s="8">
        <f>'Income Statement'!BM30+BL6</f>
        <v>404169</v>
      </c>
      <c r="BN6" s="58">
        <f>BM6</f>
        <v>404169</v>
      </c>
      <c r="BO6" s="8">
        <f>'Income Statement'!BO30</f>
        <v>54916</v>
      </c>
      <c r="BP6" s="8">
        <f>'Income Statement'!BP30+BO6</f>
        <v>127437</v>
      </c>
      <c r="BQ6" s="8">
        <f>'Income Statement'!BQ30+BP6</f>
        <v>184564</v>
      </c>
      <c r="BR6" s="8">
        <f>'Income Statement'!BR30+BQ6</f>
        <v>180261</v>
      </c>
      <c r="BS6" s="58">
        <f>BR6</f>
        <v>180261</v>
      </c>
      <c r="BT6" s="8">
        <f>'Income Statement'!BT30</f>
        <v>36766</v>
      </c>
      <c r="BU6" s="8">
        <f>'Income Statement'!BU30+BT6</f>
        <v>75132</v>
      </c>
      <c r="BV6" s="8">
        <f>'Income Statement'!BV30+BU6</f>
        <v>110662</v>
      </c>
      <c r="BW6" s="8">
        <f>'Income Statement'!BW30+BV6</f>
        <v>160338</v>
      </c>
      <c r="BX6" s="58">
        <f>BW6</f>
        <v>160338</v>
      </c>
      <c r="BY6" s="8">
        <f>'Income Statement'!BY30</f>
        <v>68222</v>
      </c>
      <c r="BZ6" s="8">
        <f>'Income Statement'!BZ30+BY6</f>
        <v>137899</v>
      </c>
      <c r="CA6" s="8">
        <f>'Income Statement'!CA30+BZ6</f>
        <v>212598</v>
      </c>
      <c r="CB6" s="8">
        <f>'Income Statement'!CB30+CA6</f>
        <v>277866</v>
      </c>
      <c r="CC6" s="58">
        <f>CB6</f>
        <v>277866</v>
      </c>
      <c r="CD6" s="8">
        <f>'Income Statement'!CD30</f>
        <v>69628</v>
      </c>
      <c r="CE6" s="8">
        <f>'Income Statement'!CE30+CD6</f>
        <v>126959</v>
      </c>
      <c r="CF6" s="8">
        <f>'Income Statement'!CF30+CE6</f>
        <v>203657</v>
      </c>
      <c r="CG6" s="8">
        <f>'Income Statement'!CG30+CF6</f>
        <v>110762</v>
      </c>
      <c r="CH6" s="58">
        <f>CG6</f>
        <v>110762</v>
      </c>
      <c r="CI6" s="8">
        <f>'Income Statement'!CI30</f>
        <v>60135</v>
      </c>
      <c r="CJ6" s="8">
        <f>'Income Statement'!CJ30+CI6</f>
        <v>122456</v>
      </c>
      <c r="CK6" s="8">
        <f>'Income Statement'!CK30+CJ6</f>
        <v>177450</v>
      </c>
      <c r="CL6" s="8">
        <f>'Income Statement'!CL30+CK6</f>
        <v>218878</v>
      </c>
      <c r="CM6" s="58">
        <f>CL6</f>
        <v>218878</v>
      </c>
      <c r="CN6" s="8">
        <f>'Income Statement'!CN30</f>
        <v>24099</v>
      </c>
      <c r="CO6" s="8">
        <f>'Income Statement'!CO30+CN6</f>
        <v>44253</v>
      </c>
      <c r="CP6" s="8"/>
      <c r="CQ6" s="8"/>
      <c r="CR6" s="58">
        <f>CQ6</f>
        <v>0</v>
      </c>
    </row>
    <row r="7" spans="1:96" ht="11.15" customHeight="1" x14ac:dyDescent="0.2">
      <c r="A7" s="7" t="s">
        <v>243</v>
      </c>
      <c r="B7" s="11"/>
      <c r="C7" s="11"/>
      <c r="D7" s="11"/>
      <c r="E7" s="11"/>
      <c r="F7" s="61"/>
      <c r="G7" s="11"/>
      <c r="H7" s="11"/>
      <c r="I7" s="11"/>
      <c r="J7" s="11"/>
      <c r="K7" s="61"/>
      <c r="L7" s="11"/>
      <c r="M7" s="11"/>
      <c r="N7" s="11"/>
      <c r="O7" s="11"/>
      <c r="P7" s="61"/>
      <c r="Q7" s="11"/>
      <c r="R7" s="11"/>
      <c r="S7" s="11"/>
      <c r="T7" s="11"/>
      <c r="U7" s="61"/>
      <c r="V7" s="11"/>
      <c r="W7" s="11"/>
      <c r="X7" s="11"/>
      <c r="Y7" s="11"/>
      <c r="Z7" s="61"/>
      <c r="AA7" s="11"/>
      <c r="AB7" s="11"/>
      <c r="AC7" s="11"/>
      <c r="AD7" s="11"/>
      <c r="AE7" s="61"/>
      <c r="AF7" s="11"/>
      <c r="AG7" s="11"/>
      <c r="AH7" s="11"/>
      <c r="AI7" s="11"/>
      <c r="AJ7" s="61"/>
      <c r="AK7" s="11"/>
      <c r="AL7" s="11"/>
      <c r="AM7" s="11"/>
      <c r="AN7" s="11"/>
      <c r="AO7" s="61"/>
      <c r="AP7" s="11"/>
      <c r="AQ7" s="36"/>
      <c r="AR7" s="11"/>
      <c r="AS7" s="11"/>
      <c r="AT7" s="61"/>
      <c r="AU7" s="11"/>
      <c r="AV7" s="11"/>
      <c r="AW7" s="11"/>
      <c r="AX7" s="11"/>
      <c r="AY7" s="61"/>
      <c r="AZ7" s="11"/>
      <c r="BA7" s="11"/>
      <c r="BB7" s="11"/>
      <c r="BC7" s="11"/>
      <c r="BD7" s="61"/>
      <c r="BE7" s="11"/>
      <c r="BF7" s="11"/>
      <c r="BG7" s="11"/>
      <c r="BH7" s="11"/>
      <c r="BI7" s="61"/>
      <c r="BJ7" s="11"/>
      <c r="BK7" s="11"/>
      <c r="BL7" s="11"/>
      <c r="BM7" s="11"/>
      <c r="BN7" s="61"/>
      <c r="BO7" s="11"/>
      <c r="BP7" s="11"/>
      <c r="BQ7" s="11"/>
      <c r="BR7" s="11"/>
      <c r="BS7" s="61"/>
      <c r="BT7" s="11"/>
      <c r="BU7" s="11"/>
      <c r="BV7" s="11"/>
      <c r="BW7" s="11"/>
      <c r="BX7" s="61"/>
      <c r="BY7" s="11"/>
      <c r="BZ7" s="11"/>
      <c r="CA7" s="11"/>
      <c r="CB7" s="11"/>
      <c r="CC7" s="61"/>
      <c r="CD7" s="11"/>
      <c r="CE7" s="11"/>
      <c r="CF7" s="11"/>
      <c r="CG7" s="11"/>
      <c r="CH7" s="61"/>
      <c r="CI7" s="11"/>
      <c r="CJ7" s="11"/>
      <c r="CK7" s="11"/>
      <c r="CL7" s="11"/>
      <c r="CM7" s="61"/>
      <c r="CN7" s="11"/>
      <c r="CO7" s="11"/>
      <c r="CP7" s="11"/>
      <c r="CQ7" s="11"/>
      <c r="CR7" s="61"/>
    </row>
    <row r="8" spans="1:96" ht="11.15" customHeight="1" x14ac:dyDescent="0.2">
      <c r="A8" s="21" t="s">
        <v>25</v>
      </c>
      <c r="B8" s="36">
        <v>1817</v>
      </c>
      <c r="C8" s="36">
        <v>3754</v>
      </c>
      <c r="D8" s="36">
        <v>5664</v>
      </c>
      <c r="E8" s="36">
        <v>9105</v>
      </c>
      <c r="F8" s="61">
        <f>E8</f>
        <v>9105</v>
      </c>
      <c r="G8" s="36">
        <v>2725</v>
      </c>
      <c r="H8" s="36">
        <v>5410</v>
      </c>
      <c r="I8" s="36">
        <v>8555</v>
      </c>
      <c r="J8" s="36">
        <v>12304</v>
      </c>
      <c r="K8" s="61">
        <f>J8</f>
        <v>12304</v>
      </c>
      <c r="L8" s="36">
        <v>3609</v>
      </c>
      <c r="M8" s="36">
        <v>7525</v>
      </c>
      <c r="N8" s="36">
        <v>11101</v>
      </c>
      <c r="O8" s="36">
        <v>15834</v>
      </c>
      <c r="P8" s="61">
        <f>O8</f>
        <v>15834</v>
      </c>
      <c r="Q8" s="36">
        <v>4380</v>
      </c>
      <c r="R8" s="36">
        <v>9043</v>
      </c>
      <c r="S8" s="36">
        <v>14024</v>
      </c>
      <c r="T8" s="36">
        <v>19172</v>
      </c>
      <c r="U8" s="61">
        <f>T8</f>
        <v>19172</v>
      </c>
      <c r="V8" s="36">
        <v>5226</v>
      </c>
      <c r="W8" s="36">
        <v>10514</v>
      </c>
      <c r="X8" s="36">
        <v>16098</v>
      </c>
      <c r="Y8" s="36">
        <v>21845</v>
      </c>
      <c r="Z8" s="61">
        <f>Y8</f>
        <v>21845</v>
      </c>
      <c r="AA8" s="36">
        <v>5658</v>
      </c>
      <c r="AB8" s="36">
        <v>11955</v>
      </c>
      <c r="AC8" s="36">
        <v>18182</v>
      </c>
      <c r="AD8" s="36">
        <v>23962</v>
      </c>
      <c r="AE8" s="61">
        <f>AD8</f>
        <v>23962</v>
      </c>
      <c r="AF8" s="36">
        <v>6215</v>
      </c>
      <c r="AG8" s="36">
        <v>12358</v>
      </c>
      <c r="AH8" s="36">
        <v>19168</v>
      </c>
      <c r="AI8" s="36">
        <v>26144</v>
      </c>
      <c r="AJ8" s="61">
        <f>AI8</f>
        <v>26144</v>
      </c>
      <c r="AK8" s="36">
        <v>7217</v>
      </c>
      <c r="AL8" s="36">
        <v>14885</v>
      </c>
      <c r="AM8" s="36">
        <v>23414</v>
      </c>
      <c r="AN8" s="36">
        <v>31524</v>
      </c>
      <c r="AO8" s="61">
        <f>AN8</f>
        <v>31524</v>
      </c>
      <c r="AP8" s="36">
        <v>8102</v>
      </c>
      <c r="AQ8" s="36">
        <v>17088</v>
      </c>
      <c r="AR8" s="36">
        <v>26409</v>
      </c>
      <c r="AS8" s="36">
        <v>35612</v>
      </c>
      <c r="AT8" s="61">
        <f>AS8</f>
        <v>35612</v>
      </c>
      <c r="AU8" s="36">
        <f>9743</f>
        <v>9743</v>
      </c>
      <c r="AV8" s="36">
        <f>20176</f>
        <v>20176</v>
      </c>
      <c r="AW8" s="36">
        <f>31079</f>
        <v>31079</v>
      </c>
      <c r="AX8" s="36">
        <f>42415</f>
        <v>42415</v>
      </c>
      <c r="AY8" s="61">
        <f>AX8</f>
        <v>42415</v>
      </c>
      <c r="AZ8" s="36">
        <f>11394</f>
        <v>11394</v>
      </c>
      <c r="BA8" s="36">
        <f>23653</f>
        <v>23653</v>
      </c>
      <c r="BB8" s="36">
        <f>37646</f>
        <v>37646</v>
      </c>
      <c r="BC8" s="36">
        <f>51475</f>
        <v>51475</v>
      </c>
      <c r="BD8" s="61">
        <f>BC8</f>
        <v>51475</v>
      </c>
      <c r="BE8" s="36">
        <v>14504</v>
      </c>
      <c r="BF8" s="36">
        <v>29714</v>
      </c>
      <c r="BG8" s="36">
        <v>46416</v>
      </c>
      <c r="BH8" s="36">
        <v>64568</v>
      </c>
      <c r="BI8" s="61">
        <f>BH8</f>
        <v>64568</v>
      </c>
      <c r="BJ8" s="36">
        <v>19223</v>
      </c>
      <c r="BK8" s="36">
        <v>38727</v>
      </c>
      <c r="BL8" s="36">
        <v>58894</v>
      </c>
      <c r="BM8" s="36">
        <v>80271</v>
      </c>
      <c r="BN8" s="61">
        <f>BM8</f>
        <v>80271</v>
      </c>
      <c r="BO8" s="36">
        <v>22802</v>
      </c>
      <c r="BP8" s="36">
        <v>47486</v>
      </c>
      <c r="BQ8" s="36">
        <v>72531</v>
      </c>
      <c r="BR8" s="36">
        <v>96268</v>
      </c>
      <c r="BS8" s="61">
        <f>BR8</f>
        <v>96268</v>
      </c>
      <c r="BT8" s="36">
        <v>24099</v>
      </c>
      <c r="BU8" s="36">
        <v>47350</v>
      </c>
      <c r="BV8" s="36">
        <v>71188</v>
      </c>
      <c r="BW8" s="36">
        <v>94554</v>
      </c>
      <c r="BX8" s="61">
        <f>BW8</f>
        <v>94554</v>
      </c>
      <c r="BY8" s="36">
        <v>23819</v>
      </c>
      <c r="BZ8" s="36">
        <v>47976</v>
      </c>
      <c r="CA8" s="36">
        <v>72127</v>
      </c>
      <c r="CB8" s="36">
        <v>96330</v>
      </c>
      <c r="CC8" s="61">
        <f>CB8</f>
        <v>96330</v>
      </c>
      <c r="CD8" s="36">
        <v>23435</v>
      </c>
      <c r="CE8" s="36">
        <v>47104</v>
      </c>
      <c r="CF8" s="36">
        <v>69852</v>
      </c>
      <c r="CG8" s="36">
        <v>90564</v>
      </c>
      <c r="CH8" s="61">
        <f>CG8</f>
        <v>90564</v>
      </c>
      <c r="CI8" s="36">
        <v>17889</v>
      </c>
      <c r="CJ8" s="36">
        <v>35343</v>
      </c>
      <c r="CK8" s="36">
        <v>52678</v>
      </c>
      <c r="CL8" s="36">
        <v>69621</v>
      </c>
      <c r="CM8" s="61">
        <f>CL8</f>
        <v>69621</v>
      </c>
      <c r="CN8" s="36">
        <v>16214</v>
      </c>
      <c r="CO8" s="36">
        <v>31506</v>
      </c>
      <c r="CP8" s="36"/>
      <c r="CQ8" s="36"/>
      <c r="CR8" s="61">
        <f>CQ8</f>
        <v>0</v>
      </c>
    </row>
    <row r="9" spans="1:96" ht="11.15" customHeight="1" x14ac:dyDescent="0.2">
      <c r="A9" s="21" t="s">
        <v>212</v>
      </c>
      <c r="B9" s="36"/>
      <c r="C9" s="36"/>
      <c r="D9" s="36"/>
      <c r="E9" s="36"/>
      <c r="F9" s="61"/>
      <c r="G9" s="36"/>
      <c r="H9" s="36"/>
      <c r="I9" s="36"/>
      <c r="J9" s="36"/>
      <c r="K9" s="61"/>
      <c r="L9" s="36"/>
      <c r="M9" s="36"/>
      <c r="N9" s="36"/>
      <c r="O9" s="36"/>
      <c r="P9" s="61"/>
      <c r="Q9" s="36"/>
      <c r="R9" s="36"/>
      <c r="S9" s="36"/>
      <c r="T9" s="36"/>
      <c r="U9" s="61"/>
      <c r="V9" s="36"/>
      <c r="W9" s="36"/>
      <c r="X9" s="36"/>
      <c r="Y9" s="36"/>
      <c r="Z9" s="61"/>
      <c r="AA9" s="36"/>
      <c r="AB9" s="36"/>
      <c r="AC9" s="36"/>
      <c r="AD9" s="36"/>
      <c r="AE9" s="61"/>
      <c r="AF9" s="36"/>
      <c r="AG9" s="36"/>
      <c r="AH9" s="36"/>
      <c r="AI9" s="36"/>
      <c r="AJ9" s="61"/>
      <c r="AK9" s="36"/>
      <c r="AL9" s="36"/>
      <c r="AM9" s="36"/>
      <c r="AN9" s="36"/>
      <c r="AO9" s="61"/>
      <c r="AP9" s="36"/>
      <c r="AQ9" s="36"/>
      <c r="AR9" s="36"/>
      <c r="AS9" s="36"/>
      <c r="AT9" s="61"/>
      <c r="AU9" s="36"/>
      <c r="AV9" s="36"/>
      <c r="AW9" s="36"/>
      <c r="AX9" s="36"/>
      <c r="AY9" s="61"/>
      <c r="AZ9" s="36"/>
      <c r="BA9" s="36"/>
      <c r="BB9" s="36"/>
      <c r="BC9" s="36"/>
      <c r="BD9" s="61"/>
      <c r="BE9" s="36"/>
      <c r="BF9" s="36"/>
      <c r="BG9" s="36"/>
      <c r="BH9" s="36"/>
      <c r="BI9" s="61"/>
      <c r="BJ9" s="36"/>
      <c r="BK9" s="36"/>
      <c r="BL9" s="36"/>
      <c r="BM9" s="36"/>
      <c r="BN9" s="61"/>
      <c r="BO9" s="36"/>
      <c r="BP9" s="36"/>
      <c r="BQ9" s="36"/>
      <c r="BR9" s="36">
        <v>37120</v>
      </c>
      <c r="BS9" s="61">
        <f t="shared" ref="BS9:BS10" si="0">BR9</f>
        <v>37120</v>
      </c>
      <c r="BT9" s="36">
        <v>0</v>
      </c>
      <c r="BU9" s="36">
        <v>0</v>
      </c>
      <c r="BV9" s="36">
        <v>44589</v>
      </c>
      <c r="BW9" s="36">
        <v>44589</v>
      </c>
      <c r="BX9" s="61">
        <f t="shared" ref="BX9:BX16" si="1">BW9</f>
        <v>44589</v>
      </c>
      <c r="BY9" s="36">
        <v>0</v>
      </c>
      <c r="BZ9" s="36">
        <v>0</v>
      </c>
      <c r="CA9" s="36">
        <v>0</v>
      </c>
      <c r="CB9" s="36">
        <v>0</v>
      </c>
      <c r="CC9" s="61">
        <f t="shared" ref="CC9:CC16" si="2">CB9</f>
        <v>0</v>
      </c>
      <c r="CD9" s="36">
        <v>0</v>
      </c>
      <c r="CE9" s="36">
        <v>0</v>
      </c>
      <c r="CF9" s="36">
        <v>0</v>
      </c>
      <c r="CG9" s="36">
        <v>0</v>
      </c>
      <c r="CH9" s="61">
        <f t="shared" ref="CH9:CH16" si="3">CG9</f>
        <v>0</v>
      </c>
      <c r="CI9" s="36">
        <v>0</v>
      </c>
      <c r="CJ9" s="36">
        <v>0</v>
      </c>
      <c r="CK9" s="36">
        <v>0</v>
      </c>
      <c r="CL9" s="36">
        <v>0</v>
      </c>
      <c r="CM9" s="61">
        <f t="shared" ref="CM9:CM16" si="4">CL9</f>
        <v>0</v>
      </c>
      <c r="CN9" s="36">
        <v>0</v>
      </c>
      <c r="CO9" s="36">
        <v>0</v>
      </c>
      <c r="CP9" s="36"/>
      <c r="CQ9" s="36"/>
      <c r="CR9" s="61">
        <f t="shared" ref="CR9:CR16" si="5">CQ9</f>
        <v>0</v>
      </c>
    </row>
    <row r="10" spans="1:96" ht="11.15" customHeight="1" x14ac:dyDescent="0.2">
      <c r="A10" s="21" t="s">
        <v>252</v>
      </c>
      <c r="B10" s="36"/>
      <c r="C10" s="36"/>
      <c r="D10" s="36"/>
      <c r="E10" s="36"/>
      <c r="F10" s="61"/>
      <c r="G10" s="36"/>
      <c r="H10" s="36"/>
      <c r="I10" s="36"/>
      <c r="J10" s="36"/>
      <c r="K10" s="61"/>
      <c r="L10" s="36"/>
      <c r="M10" s="36"/>
      <c r="N10" s="36"/>
      <c r="O10" s="36"/>
      <c r="P10" s="61"/>
      <c r="Q10" s="36"/>
      <c r="R10" s="36"/>
      <c r="S10" s="36"/>
      <c r="T10" s="36"/>
      <c r="U10" s="61"/>
      <c r="V10" s="36"/>
      <c r="W10" s="36"/>
      <c r="X10" s="36"/>
      <c r="Y10" s="36"/>
      <c r="Z10" s="61"/>
      <c r="AA10" s="36"/>
      <c r="AB10" s="36"/>
      <c r="AC10" s="36"/>
      <c r="AD10" s="36"/>
      <c r="AE10" s="61"/>
      <c r="AF10" s="36"/>
      <c r="AG10" s="36"/>
      <c r="AH10" s="36"/>
      <c r="AI10" s="36"/>
      <c r="AJ10" s="61"/>
      <c r="AK10" s="36"/>
      <c r="AL10" s="36"/>
      <c r="AM10" s="36"/>
      <c r="AN10" s="36"/>
      <c r="AO10" s="61"/>
      <c r="AP10" s="36"/>
      <c r="AQ10" s="36"/>
      <c r="AR10" s="36"/>
      <c r="AS10" s="36"/>
      <c r="AT10" s="61"/>
      <c r="AU10" s="36"/>
      <c r="AV10" s="36"/>
      <c r="AW10" s="36"/>
      <c r="AX10" s="36"/>
      <c r="AY10" s="61"/>
      <c r="AZ10" s="36"/>
      <c r="BA10" s="36"/>
      <c r="BB10" s="36"/>
      <c r="BC10" s="36"/>
      <c r="BD10" s="61"/>
      <c r="BE10" s="36"/>
      <c r="BF10" s="36"/>
      <c r="BG10" s="36"/>
      <c r="BH10" s="36"/>
      <c r="BI10" s="61"/>
      <c r="BJ10" s="36"/>
      <c r="BK10" s="36"/>
      <c r="BL10" s="36"/>
      <c r="BM10" s="36"/>
      <c r="BN10" s="61"/>
      <c r="BO10" s="36"/>
      <c r="BP10" s="36"/>
      <c r="BQ10" s="36"/>
      <c r="BR10" s="36">
        <v>5350</v>
      </c>
      <c r="BS10" s="61">
        <f t="shared" si="0"/>
        <v>5350</v>
      </c>
      <c r="BT10" s="36">
        <v>0</v>
      </c>
      <c r="BU10" s="36">
        <v>671</v>
      </c>
      <c r="BV10" s="36">
        <v>671</v>
      </c>
      <c r="BW10" s="36">
        <v>671</v>
      </c>
      <c r="BX10" s="61">
        <f t="shared" si="1"/>
        <v>671</v>
      </c>
      <c r="BY10" s="36">
        <v>0</v>
      </c>
      <c r="BZ10" s="36">
        <v>0</v>
      </c>
      <c r="CA10" s="36">
        <v>0</v>
      </c>
      <c r="CB10" s="36">
        <v>0</v>
      </c>
      <c r="CC10" s="61">
        <f t="shared" si="2"/>
        <v>0</v>
      </c>
      <c r="CD10" s="36">
        <v>0</v>
      </c>
      <c r="CE10" s="36">
        <v>0</v>
      </c>
      <c r="CF10" s="36">
        <v>919</v>
      </c>
      <c r="CG10" s="36">
        <v>79949</v>
      </c>
      <c r="CH10" s="61">
        <f t="shared" si="3"/>
        <v>79949</v>
      </c>
      <c r="CI10" s="36">
        <v>0</v>
      </c>
      <c r="CJ10" s="36">
        <v>0</v>
      </c>
      <c r="CK10" s="36">
        <v>-486</v>
      </c>
      <c r="CL10" s="36">
        <v>-486</v>
      </c>
      <c r="CM10" s="61">
        <f t="shared" si="4"/>
        <v>-486</v>
      </c>
      <c r="CN10" s="36">
        <v>0</v>
      </c>
      <c r="CO10" s="36">
        <v>0</v>
      </c>
      <c r="CP10" s="36"/>
      <c r="CQ10" s="36"/>
      <c r="CR10" s="61">
        <f t="shared" si="5"/>
        <v>0</v>
      </c>
    </row>
    <row r="11" spans="1:96" ht="11.15" customHeight="1" x14ac:dyDescent="0.2">
      <c r="A11" s="21" t="s">
        <v>81</v>
      </c>
      <c r="B11" s="36">
        <v>1990</v>
      </c>
      <c r="C11" s="36">
        <v>3063</v>
      </c>
      <c r="D11" s="36">
        <v>76</v>
      </c>
      <c r="E11" s="36">
        <v>-10159</v>
      </c>
      <c r="F11" s="61">
        <f t="shared" ref="F11:F16" si="6">E11</f>
        <v>-10159</v>
      </c>
      <c r="G11" s="36">
        <v>691</v>
      </c>
      <c r="H11" s="36">
        <v>380</v>
      </c>
      <c r="I11" s="36">
        <v>3970</v>
      </c>
      <c r="J11" s="36">
        <v>8116</v>
      </c>
      <c r="K11" s="61">
        <f t="shared" ref="K11:K16" si="7">J11</f>
        <v>8116</v>
      </c>
      <c r="L11" s="36">
        <v>-2032</v>
      </c>
      <c r="M11" s="36">
        <v>-2934</v>
      </c>
      <c r="N11" s="36">
        <v>-1629</v>
      </c>
      <c r="O11" s="36">
        <v>2445</v>
      </c>
      <c r="P11" s="61">
        <f t="shared" ref="P11:P16" si="8">O11</f>
        <v>2445</v>
      </c>
      <c r="Q11" s="36">
        <v>-4174</v>
      </c>
      <c r="R11" s="36">
        <v>-5699</v>
      </c>
      <c r="S11" s="36">
        <v>-8119</v>
      </c>
      <c r="T11" s="36">
        <v>-4087</v>
      </c>
      <c r="U11" s="61">
        <f t="shared" ref="U11:U16" si="9">T11</f>
        <v>-4087</v>
      </c>
      <c r="V11" s="36">
        <v>-2409</v>
      </c>
      <c r="W11" s="36">
        <v>-2766</v>
      </c>
      <c r="X11" s="36">
        <v>-2073</v>
      </c>
      <c r="Y11" s="36">
        <v>401</v>
      </c>
      <c r="Z11" s="61">
        <f t="shared" ref="Z11:Z16" si="10">Y11</f>
        <v>401</v>
      </c>
      <c r="AA11" s="36">
        <v>5201</v>
      </c>
      <c r="AB11" s="36">
        <v>6624</v>
      </c>
      <c r="AC11" s="36">
        <v>564</v>
      </c>
      <c r="AD11" s="36">
        <v>-288</v>
      </c>
      <c r="AE11" s="61">
        <f t="shared" ref="AE11:AE16" si="11">AD11</f>
        <v>-288</v>
      </c>
      <c r="AF11" s="36">
        <v>2854</v>
      </c>
      <c r="AG11" s="36">
        <v>389</v>
      </c>
      <c r="AH11" s="36">
        <v>2705</v>
      </c>
      <c r="AI11" s="36">
        <v>5546</v>
      </c>
      <c r="AJ11" s="61">
        <f t="shared" ref="AJ11:AJ16" si="12">AI11</f>
        <v>5546</v>
      </c>
      <c r="AK11" s="36">
        <v>4324</v>
      </c>
      <c r="AL11" s="36">
        <v>-3385</v>
      </c>
      <c r="AM11" s="36">
        <v>-7591</v>
      </c>
      <c r="AN11" s="36">
        <v>-6168</v>
      </c>
      <c r="AO11" s="61">
        <f t="shared" ref="AO11:AO16" si="13">AN11</f>
        <v>-6168</v>
      </c>
      <c r="AP11" s="36">
        <v>-2610</v>
      </c>
      <c r="AQ11" s="36">
        <v>-4893</v>
      </c>
      <c r="AR11" s="36">
        <v>-5954</v>
      </c>
      <c r="AS11" s="36">
        <v>-1486</v>
      </c>
      <c r="AT11" s="61">
        <f t="shared" ref="AT11:AT16" si="14">AS11</f>
        <v>-1486</v>
      </c>
      <c r="AU11" s="36">
        <v>5708</v>
      </c>
      <c r="AV11" s="36">
        <v>-2118</v>
      </c>
      <c r="AW11" s="36">
        <v>-7144</v>
      </c>
      <c r="AX11" s="36">
        <v>-7153</v>
      </c>
      <c r="AY11" s="61">
        <f t="shared" ref="AY11:AY16" si="15">AX11</f>
        <v>-7153</v>
      </c>
      <c r="AZ11" s="36">
        <v>-2741</v>
      </c>
      <c r="BA11" s="36">
        <v>-9268</v>
      </c>
      <c r="BB11" s="36">
        <v>-12054</v>
      </c>
      <c r="BC11" s="36">
        <v>-12908</v>
      </c>
      <c r="BD11" s="61">
        <f t="shared" ref="BD11:BD16" si="16">BC11</f>
        <v>-12908</v>
      </c>
      <c r="BE11" s="36">
        <v>4208</v>
      </c>
      <c r="BF11" s="36">
        <v>4533</v>
      </c>
      <c r="BG11" s="36">
        <v>14534</v>
      </c>
      <c r="BH11" s="36">
        <v>22881</v>
      </c>
      <c r="BI11" s="61">
        <f t="shared" ref="BI11:BI16" si="17">BH11</f>
        <v>22881</v>
      </c>
      <c r="BJ11" s="36">
        <v>7401</v>
      </c>
      <c r="BK11" s="36">
        <v>6097</v>
      </c>
      <c r="BL11" s="36">
        <v>2954</v>
      </c>
      <c r="BM11" s="36">
        <v>-4576</v>
      </c>
      <c r="BN11" s="61">
        <f t="shared" ref="BN11:BN16" si="18">BM11</f>
        <v>-4576</v>
      </c>
      <c r="BO11" s="36">
        <v>9199</v>
      </c>
      <c r="BP11" s="36">
        <v>2628</v>
      </c>
      <c r="BQ11" s="36">
        <v>-4214</v>
      </c>
      <c r="BR11" s="36">
        <v>-15489</v>
      </c>
      <c r="BS11" s="61">
        <f t="shared" ref="BS11:BS16" si="19">BR11</f>
        <v>-15489</v>
      </c>
      <c r="BT11" s="36">
        <v>-935</v>
      </c>
      <c r="BU11" s="36">
        <v>1591</v>
      </c>
      <c r="BV11" s="36">
        <v>-10122</v>
      </c>
      <c r="BW11" s="36">
        <v>-12813</v>
      </c>
      <c r="BX11" s="61">
        <f t="shared" si="1"/>
        <v>-12813</v>
      </c>
      <c r="BY11" s="36">
        <v>3944</v>
      </c>
      <c r="BZ11" s="36">
        <v>-1856</v>
      </c>
      <c r="CA11" s="36">
        <v>-4757</v>
      </c>
      <c r="CB11" s="36">
        <v>-6885</v>
      </c>
      <c r="CC11" s="61">
        <f t="shared" si="2"/>
        <v>-6885</v>
      </c>
      <c r="CD11" s="36">
        <v>-3397</v>
      </c>
      <c r="CE11" s="36">
        <v>-11204</v>
      </c>
      <c r="CF11" s="36">
        <v>-21550</v>
      </c>
      <c r="CG11" s="36">
        <v>-27575</v>
      </c>
      <c r="CH11" s="61">
        <f t="shared" si="3"/>
        <v>-27575</v>
      </c>
      <c r="CI11" s="36">
        <v>16106</v>
      </c>
      <c r="CJ11" s="36">
        <v>5065</v>
      </c>
      <c r="CK11" s="36">
        <v>-4835</v>
      </c>
      <c r="CL11" s="36">
        <v>-13789</v>
      </c>
      <c r="CM11" s="61">
        <f t="shared" si="4"/>
        <v>-13789</v>
      </c>
      <c r="CN11" s="36">
        <v>4044</v>
      </c>
      <c r="CO11" s="36">
        <v>720</v>
      </c>
      <c r="CP11" s="36"/>
      <c r="CQ11" s="36"/>
      <c r="CR11" s="61">
        <f t="shared" si="5"/>
        <v>0</v>
      </c>
    </row>
    <row r="12" spans="1:96" ht="11.15" customHeight="1" x14ac:dyDescent="0.2">
      <c r="A12" s="21" t="s">
        <v>82</v>
      </c>
      <c r="B12" s="11">
        <f>Reconciliation!B10</f>
        <v>0</v>
      </c>
      <c r="C12" s="11">
        <f>SUM(Reconciliation!B10:C10)</f>
        <v>126</v>
      </c>
      <c r="D12" s="11">
        <f>SUM(Reconciliation!B10:D10)</f>
        <v>317</v>
      </c>
      <c r="E12" s="11">
        <f>SUM(Reconciliation!B10:E10)</f>
        <v>533</v>
      </c>
      <c r="F12" s="61">
        <f t="shared" si="6"/>
        <v>533</v>
      </c>
      <c r="G12" s="11">
        <f>Reconciliation!G10</f>
        <v>219</v>
      </c>
      <c r="H12" s="11">
        <f>SUM(Reconciliation!G10:H10)</f>
        <v>509</v>
      </c>
      <c r="I12" s="11">
        <f>SUM(Reconciliation!G10:I10)</f>
        <v>905</v>
      </c>
      <c r="J12" s="11">
        <f>SUM(Reconciliation!G10:J10)</f>
        <v>1324</v>
      </c>
      <c r="K12" s="61">
        <f t="shared" si="7"/>
        <v>1324</v>
      </c>
      <c r="L12" s="11">
        <f>Reconciliation!L10</f>
        <v>387</v>
      </c>
      <c r="M12" s="11">
        <f>SUM(Reconciliation!L10:M10)</f>
        <v>1004</v>
      </c>
      <c r="N12" s="11">
        <f>SUM(Reconciliation!L10:N10)</f>
        <v>1499</v>
      </c>
      <c r="O12" s="11">
        <f>SUM(Reconciliation!L10:O10)</f>
        <v>2074</v>
      </c>
      <c r="P12" s="61">
        <f t="shared" si="8"/>
        <v>2074</v>
      </c>
      <c r="Q12" s="11">
        <f>Reconciliation!Q10</f>
        <v>635</v>
      </c>
      <c r="R12" s="11">
        <f>SUM(Reconciliation!Q10:R10)</f>
        <v>1205</v>
      </c>
      <c r="S12" s="11">
        <f>SUM(Reconciliation!Q10:S10)</f>
        <v>1992</v>
      </c>
      <c r="T12" s="11">
        <f>SUM(Reconciliation!Q10:T10)</f>
        <v>2767</v>
      </c>
      <c r="U12" s="61">
        <f t="shared" si="9"/>
        <v>2767</v>
      </c>
      <c r="V12" s="11">
        <f>Reconciliation!V10</f>
        <v>770</v>
      </c>
      <c r="W12" s="11">
        <f>SUM(Reconciliation!V10:W10)</f>
        <v>1563</v>
      </c>
      <c r="X12" s="11">
        <f>SUM(Reconciliation!V10:X10)</f>
        <v>2478</v>
      </c>
      <c r="Y12" s="11">
        <f>SUM(Reconciliation!V10:Y10)</f>
        <v>3196</v>
      </c>
      <c r="Z12" s="61">
        <f t="shared" si="10"/>
        <v>3196</v>
      </c>
      <c r="AA12" s="11">
        <f>Reconciliation!AA10</f>
        <v>2607</v>
      </c>
      <c r="AB12" s="11">
        <f>SUM(Reconciliation!AA10:AB10)</f>
        <v>4301</v>
      </c>
      <c r="AC12" s="11">
        <f>SUM(Reconciliation!AA10:AC10)</f>
        <v>6180</v>
      </c>
      <c r="AD12" s="11">
        <f>SUM(Reconciliation!AA10:AD10)</f>
        <v>8048</v>
      </c>
      <c r="AE12" s="61">
        <f t="shared" si="11"/>
        <v>8048</v>
      </c>
      <c r="AF12" s="11">
        <f>Reconciliation!AF10</f>
        <v>1998</v>
      </c>
      <c r="AG12" s="11">
        <f>SUM(Reconciliation!AF10:AG10)</f>
        <v>4199</v>
      </c>
      <c r="AH12" s="11">
        <f>SUM(Reconciliation!AF10:AH10)</f>
        <v>6358</v>
      </c>
      <c r="AI12" s="11">
        <f>SUM(Reconciliation!AF10:AI10)</f>
        <v>8565</v>
      </c>
      <c r="AJ12" s="61">
        <f t="shared" si="12"/>
        <v>8565</v>
      </c>
      <c r="AK12" s="11">
        <f>Reconciliation!AK10</f>
        <v>2532</v>
      </c>
      <c r="AL12" s="11">
        <f>SUM(Reconciliation!AK10:AL10)</f>
        <v>5472</v>
      </c>
      <c r="AM12" s="11">
        <v>8604</v>
      </c>
      <c r="AN12" s="11">
        <v>11720</v>
      </c>
      <c r="AO12" s="61">
        <f t="shared" si="13"/>
        <v>11720</v>
      </c>
      <c r="AP12" s="11">
        <f>Reconciliation!AP10</f>
        <v>3267</v>
      </c>
      <c r="AQ12" s="11">
        <f>SUM(Reconciliation!AP10:AQ10)</f>
        <v>7172</v>
      </c>
      <c r="AR12" s="11">
        <f>SUM(Reconciliation!AP10:AR10)</f>
        <v>11067</v>
      </c>
      <c r="AS12" s="11">
        <f>SUM(Reconciliation!AP10:AS10)</f>
        <v>15172</v>
      </c>
      <c r="AT12" s="61">
        <f t="shared" si="14"/>
        <v>15172</v>
      </c>
      <c r="AU12" s="11">
        <f>Reconciliation!AU10</f>
        <v>4127</v>
      </c>
      <c r="AV12" s="11">
        <f>SUM(Reconciliation!AU10:AV10)</f>
        <v>8862</v>
      </c>
      <c r="AW12" s="11">
        <f>SUM(Reconciliation!AU10:AW10)</f>
        <v>13875</v>
      </c>
      <c r="AX12" s="11">
        <f>SUM(Reconciliation!AU10:AX10)</f>
        <v>18989</v>
      </c>
      <c r="AY12" s="61">
        <f t="shared" si="15"/>
        <v>18989</v>
      </c>
      <c r="AZ12" s="11">
        <f>Reconciliation!AZ10</f>
        <v>4959</v>
      </c>
      <c r="BA12" s="11">
        <f>SUM(Reconciliation!AZ10:BA10)</f>
        <v>10436</v>
      </c>
      <c r="BB12" s="11">
        <f>SUM(Reconciliation!AZ10:BB10)</f>
        <v>16099</v>
      </c>
      <c r="BC12" s="11">
        <f>SUM(Reconciliation!AZ10:BC10)</f>
        <v>21734</v>
      </c>
      <c r="BD12" s="61">
        <f t="shared" si="16"/>
        <v>21734</v>
      </c>
      <c r="BE12" s="11">
        <f>Reconciliation!BE10</f>
        <v>5351</v>
      </c>
      <c r="BF12" s="11">
        <f>SUM(Reconciliation!BE10:BF10)</f>
        <v>11059</v>
      </c>
      <c r="BG12" s="11">
        <f>SUM(Reconciliation!BE10:BG10)</f>
        <v>16989</v>
      </c>
      <c r="BH12" s="11">
        <f>SUM(Reconciliation!BE10:BH10)</f>
        <v>23021</v>
      </c>
      <c r="BI12" s="61">
        <f t="shared" si="17"/>
        <v>23021</v>
      </c>
      <c r="BJ12" s="11">
        <f>Reconciliation!BJ10</f>
        <v>6415</v>
      </c>
      <c r="BK12" s="11">
        <f>SUM(Reconciliation!BJ10:BK10)</f>
        <v>13724</v>
      </c>
      <c r="BL12" s="11">
        <f>SUM(Reconciliation!BJ10:BL10)</f>
        <v>21443</v>
      </c>
      <c r="BM12" s="11">
        <f>SUM(Reconciliation!BJ10:BM10)</f>
        <v>28027</v>
      </c>
      <c r="BN12" s="61">
        <f t="shared" si="18"/>
        <v>28027</v>
      </c>
      <c r="BO12" s="11">
        <f>Reconciliation!BO10</f>
        <v>8138</v>
      </c>
      <c r="BP12" s="36">
        <v>17031</v>
      </c>
      <c r="BQ12" s="36">
        <v>25571</v>
      </c>
      <c r="BR12" s="36">
        <v>33363</v>
      </c>
      <c r="BS12" s="61">
        <f t="shared" si="19"/>
        <v>33363</v>
      </c>
      <c r="BT12" s="36">
        <v>8430</v>
      </c>
      <c r="BU12" s="36">
        <v>17653</v>
      </c>
      <c r="BV12" s="36">
        <v>26394</v>
      </c>
      <c r="BW12" s="36">
        <v>35472</v>
      </c>
      <c r="BX12" s="61">
        <f t="shared" si="1"/>
        <v>35472</v>
      </c>
      <c r="BY12" s="36">
        <v>8815</v>
      </c>
      <c r="BZ12" s="36">
        <v>18678</v>
      </c>
      <c r="CA12" s="36">
        <v>28536</v>
      </c>
      <c r="CB12" s="36">
        <v>37864</v>
      </c>
      <c r="CC12" s="61">
        <f t="shared" si="2"/>
        <v>37864</v>
      </c>
      <c r="CD12" s="36">
        <v>9994</v>
      </c>
      <c r="CE12" s="36">
        <v>20439</v>
      </c>
      <c r="CF12" s="36">
        <v>29201</v>
      </c>
      <c r="CG12" s="36">
        <v>38302</v>
      </c>
      <c r="CH12" s="61">
        <f t="shared" si="3"/>
        <v>38302</v>
      </c>
      <c r="CI12" s="36">
        <v>9576</v>
      </c>
      <c r="CJ12" s="36">
        <v>19249</v>
      </c>
      <c r="CK12" s="36">
        <v>27392</v>
      </c>
      <c r="CL12" s="36">
        <v>39502</v>
      </c>
      <c r="CM12" s="61">
        <f t="shared" si="4"/>
        <v>39502</v>
      </c>
      <c r="CN12" s="36">
        <v>9738</v>
      </c>
      <c r="CO12" s="36">
        <v>18282</v>
      </c>
      <c r="CP12" s="36"/>
      <c r="CQ12" s="36"/>
      <c r="CR12" s="61">
        <f t="shared" si="5"/>
        <v>0</v>
      </c>
    </row>
    <row r="13" spans="1:96" ht="11.25" customHeight="1" x14ac:dyDescent="0.2">
      <c r="A13" s="21" t="s">
        <v>83</v>
      </c>
      <c r="B13" s="36">
        <v>0</v>
      </c>
      <c r="C13" s="36">
        <v>321</v>
      </c>
      <c r="D13" s="36">
        <v>585</v>
      </c>
      <c r="E13" s="36">
        <v>1115</v>
      </c>
      <c r="F13" s="61">
        <f t="shared" si="6"/>
        <v>1115</v>
      </c>
      <c r="G13" s="36">
        <v>0</v>
      </c>
      <c r="H13" s="36">
        <v>0</v>
      </c>
      <c r="I13" s="36">
        <v>-885</v>
      </c>
      <c r="J13" s="36">
        <v>-1050</v>
      </c>
      <c r="K13" s="61">
        <f t="shared" si="7"/>
        <v>-1050</v>
      </c>
      <c r="L13" s="36">
        <v>-353</v>
      </c>
      <c r="M13" s="36">
        <v>-314</v>
      </c>
      <c r="N13" s="36">
        <v>-1852</v>
      </c>
      <c r="O13" s="36">
        <v>-3776</v>
      </c>
      <c r="P13" s="61">
        <f t="shared" si="8"/>
        <v>-3776</v>
      </c>
      <c r="Q13" s="36">
        <v>1513</v>
      </c>
      <c r="R13" s="36">
        <v>1015</v>
      </c>
      <c r="S13" s="36">
        <v>1077</v>
      </c>
      <c r="T13" s="36">
        <v>1023</v>
      </c>
      <c r="U13" s="61">
        <f t="shared" si="9"/>
        <v>1023</v>
      </c>
      <c r="V13" s="36">
        <v>-106</v>
      </c>
      <c r="W13" s="36">
        <v>-2403</v>
      </c>
      <c r="X13" s="36">
        <v>-325</v>
      </c>
      <c r="Y13" s="36">
        <v>-888</v>
      </c>
      <c r="Z13" s="61">
        <f t="shared" si="10"/>
        <v>-888</v>
      </c>
      <c r="AA13" s="36">
        <v>744</v>
      </c>
      <c r="AB13" s="36">
        <v>551</v>
      </c>
      <c r="AC13" s="36">
        <v>-182</v>
      </c>
      <c r="AD13" s="36">
        <v>-764</v>
      </c>
      <c r="AE13" s="61">
        <f t="shared" si="11"/>
        <v>-764</v>
      </c>
      <c r="AF13" s="36">
        <v>1747</v>
      </c>
      <c r="AG13" s="36">
        <v>-865</v>
      </c>
      <c r="AH13" s="36">
        <v>1484</v>
      </c>
      <c r="AI13" s="36">
        <v>1250</v>
      </c>
      <c r="AJ13" s="61">
        <f t="shared" si="12"/>
        <v>1250</v>
      </c>
      <c r="AK13" s="36">
        <v>-481</v>
      </c>
      <c r="AL13" s="36">
        <v>-591</v>
      </c>
      <c r="AM13" s="36">
        <v>972</v>
      </c>
      <c r="AN13" s="36">
        <v>-235</v>
      </c>
      <c r="AO13" s="61">
        <f t="shared" si="13"/>
        <v>-235</v>
      </c>
      <c r="AP13" s="36">
        <v>-1355</v>
      </c>
      <c r="AQ13" s="36">
        <v>-2225</v>
      </c>
      <c r="AR13" s="36">
        <v>-4547</v>
      </c>
      <c r="AS13" s="36">
        <v>-3497</v>
      </c>
      <c r="AT13" s="61">
        <f t="shared" si="14"/>
        <v>-3497</v>
      </c>
      <c r="AU13" s="36">
        <v>-5415</v>
      </c>
      <c r="AV13" s="36">
        <v>-3412</v>
      </c>
      <c r="AW13" s="36">
        <v>-3893</v>
      </c>
      <c r="AX13" s="36">
        <v>-5491</v>
      </c>
      <c r="AY13" s="61">
        <f t="shared" si="15"/>
        <v>-5491</v>
      </c>
      <c r="AZ13" s="36">
        <v>4802</v>
      </c>
      <c r="BA13" s="36">
        <v>2240</v>
      </c>
      <c r="BB13" s="36">
        <v>6044</v>
      </c>
      <c r="BC13" s="36">
        <v>2298</v>
      </c>
      <c r="BD13" s="61">
        <f t="shared" si="16"/>
        <v>2298</v>
      </c>
      <c r="BE13" s="36">
        <v>3462</v>
      </c>
      <c r="BF13" s="36">
        <v>5538</v>
      </c>
      <c r="BG13" s="36">
        <v>8197</v>
      </c>
      <c r="BH13" s="36">
        <v>7949</v>
      </c>
      <c r="BI13" s="61">
        <f t="shared" si="17"/>
        <v>7949</v>
      </c>
      <c r="BJ13" s="36">
        <v>-1991</v>
      </c>
      <c r="BK13" s="36">
        <v>-1056</v>
      </c>
      <c r="BL13" s="36">
        <v>-1779</v>
      </c>
      <c r="BM13" s="36">
        <v>-2670</v>
      </c>
      <c r="BN13" s="61">
        <f t="shared" si="18"/>
        <v>-2670</v>
      </c>
      <c r="BO13" s="36">
        <v>267</v>
      </c>
      <c r="BP13" s="36">
        <v>4185</v>
      </c>
      <c r="BQ13" s="36">
        <v>7033</v>
      </c>
      <c r="BR13" s="36">
        <v>11004</v>
      </c>
      <c r="BS13" s="61">
        <f t="shared" si="19"/>
        <v>11004</v>
      </c>
      <c r="BT13" s="36">
        <v>-19589</v>
      </c>
      <c r="BU13" s="36">
        <v>-8737</v>
      </c>
      <c r="BV13" s="36">
        <v>-21759</v>
      </c>
      <c r="BW13" s="36">
        <v>-19935</v>
      </c>
      <c r="BX13" s="61">
        <f t="shared" si="1"/>
        <v>-19935</v>
      </c>
      <c r="BY13" s="36">
        <v>-7800</v>
      </c>
      <c r="BZ13" s="36">
        <v>-1728</v>
      </c>
      <c r="CA13" s="36">
        <v>-4313</v>
      </c>
      <c r="CB13" s="36">
        <v>-8560</v>
      </c>
      <c r="CC13" s="61">
        <f t="shared" si="2"/>
        <v>-8560</v>
      </c>
      <c r="CD13" s="36">
        <v>-2393</v>
      </c>
      <c r="CE13" s="36">
        <v>12584</v>
      </c>
      <c r="CF13" s="36">
        <v>8355</v>
      </c>
      <c r="CG13" s="36">
        <v>-592</v>
      </c>
      <c r="CH13" s="61">
        <f t="shared" si="3"/>
        <v>-592</v>
      </c>
      <c r="CI13" s="36">
        <v>-1877</v>
      </c>
      <c r="CJ13" s="36">
        <v>-1816</v>
      </c>
      <c r="CK13" s="36">
        <v>-4322</v>
      </c>
      <c r="CL13" s="36">
        <v>-4334</v>
      </c>
      <c r="CM13" s="61">
        <f t="shared" si="4"/>
        <v>-4334</v>
      </c>
      <c r="CN13" s="36">
        <v>-708</v>
      </c>
      <c r="CO13" s="36">
        <v>-487</v>
      </c>
      <c r="CP13" s="36"/>
      <c r="CQ13" s="36"/>
      <c r="CR13" s="61">
        <f t="shared" si="5"/>
        <v>0</v>
      </c>
    </row>
    <row r="14" spans="1:96" ht="11.15" customHeight="1" x14ac:dyDescent="0.2">
      <c r="A14" s="21" t="s">
        <v>228</v>
      </c>
      <c r="B14" s="36"/>
      <c r="C14" s="36"/>
      <c r="D14" s="36"/>
      <c r="E14" s="36"/>
      <c r="F14" s="61"/>
      <c r="G14" s="36"/>
      <c r="H14" s="36"/>
      <c r="I14" s="36"/>
      <c r="J14" s="36"/>
      <c r="K14" s="61"/>
      <c r="L14" s="36"/>
      <c r="M14" s="36"/>
      <c r="N14" s="36"/>
      <c r="O14" s="36"/>
      <c r="P14" s="61"/>
      <c r="Q14" s="36"/>
      <c r="R14" s="36"/>
      <c r="S14" s="36"/>
      <c r="T14" s="36"/>
      <c r="U14" s="61"/>
      <c r="V14" s="36"/>
      <c r="W14" s="36"/>
      <c r="X14" s="36"/>
      <c r="Y14" s="36"/>
      <c r="Z14" s="61"/>
      <c r="AA14" s="36"/>
      <c r="AB14" s="36"/>
      <c r="AC14" s="36"/>
      <c r="AD14" s="36"/>
      <c r="AE14" s="61"/>
      <c r="AF14" s="36"/>
      <c r="AG14" s="36"/>
      <c r="AH14" s="36"/>
      <c r="AI14" s="36"/>
      <c r="AJ14" s="61"/>
      <c r="AK14" s="36"/>
      <c r="AL14" s="36"/>
      <c r="AM14" s="36"/>
      <c r="AN14" s="36"/>
      <c r="AO14" s="61"/>
      <c r="AP14" s="36"/>
      <c r="AQ14" s="36"/>
      <c r="AR14" s="36"/>
      <c r="AS14" s="36"/>
      <c r="AT14" s="61"/>
      <c r="AU14" s="36"/>
      <c r="AV14" s="36"/>
      <c r="AW14" s="36"/>
      <c r="AX14" s="36"/>
      <c r="AY14" s="61"/>
      <c r="AZ14" s="36"/>
      <c r="BA14" s="36"/>
      <c r="BB14" s="36"/>
      <c r="BC14" s="36"/>
      <c r="BD14" s="61"/>
      <c r="BE14" s="36"/>
      <c r="BF14" s="36"/>
      <c r="BG14" s="36"/>
      <c r="BH14" s="36"/>
      <c r="BI14" s="61"/>
      <c r="BJ14" s="36"/>
      <c r="BK14" s="36"/>
      <c r="BL14" s="36"/>
      <c r="BM14" s="36"/>
      <c r="BN14" s="61"/>
      <c r="BO14" s="36"/>
      <c r="BP14" s="36"/>
      <c r="BQ14" s="36"/>
      <c r="BR14" s="36"/>
      <c r="BS14" s="61"/>
      <c r="BT14" s="36"/>
      <c r="BU14" s="36"/>
      <c r="BV14" s="36"/>
      <c r="BW14" s="36"/>
      <c r="BX14" s="61"/>
      <c r="BY14" s="36"/>
      <c r="BZ14" s="36"/>
      <c r="CA14" s="36"/>
      <c r="CB14" s="36"/>
      <c r="CC14" s="61">
        <f t="shared" si="2"/>
        <v>0</v>
      </c>
      <c r="CD14" s="36">
        <v>0</v>
      </c>
      <c r="CE14" s="36">
        <v>0</v>
      </c>
      <c r="CF14" s="36">
        <v>-21748</v>
      </c>
      <c r="CG14" s="36">
        <v>-31846</v>
      </c>
      <c r="CH14" s="61">
        <f t="shared" si="3"/>
        <v>-31846</v>
      </c>
      <c r="CI14" s="36">
        <v>0</v>
      </c>
      <c r="CJ14" s="36">
        <v>0</v>
      </c>
      <c r="CK14" s="36">
        <v>0</v>
      </c>
      <c r="CL14" s="36">
        <v>0</v>
      </c>
      <c r="CM14" s="61">
        <f>CL14</f>
        <v>0</v>
      </c>
      <c r="CN14" s="36">
        <v>0</v>
      </c>
      <c r="CO14" s="36">
        <v>0</v>
      </c>
      <c r="CP14" s="36"/>
      <c r="CQ14" s="36"/>
      <c r="CR14" s="61">
        <f>CQ14</f>
        <v>0</v>
      </c>
    </row>
    <row r="15" spans="1:96" ht="11.15" customHeight="1" x14ac:dyDescent="0.2">
      <c r="A15" s="21" t="s">
        <v>21</v>
      </c>
      <c r="B15" s="36">
        <f>224+1862+288+'Income Statement'!B32</f>
        <v>2892</v>
      </c>
      <c r="C15" s="36">
        <f>328+2219+398+'Income Statement'!C32+'Income Statement'!B32</f>
        <v>3981</v>
      </c>
      <c r="D15" s="36">
        <f>227+4356+910+'Income Statement'!D32+'Income Statement'!C32+'Income Statement'!B32</f>
        <v>7047</v>
      </c>
      <c r="E15" s="36">
        <f>214+7443+1881+'Income Statement'!E32+'Income Statement'!D32+'Income Statement'!C32+'Income Statement'!B32</f>
        <v>29799</v>
      </c>
      <c r="F15" s="61">
        <f t="shared" si="6"/>
        <v>29799</v>
      </c>
      <c r="G15" s="36">
        <v>-454</v>
      </c>
      <c r="H15" s="36">
        <v>-384</v>
      </c>
      <c r="I15" s="36">
        <v>-29</v>
      </c>
      <c r="J15" s="36">
        <v>-42</v>
      </c>
      <c r="K15" s="61">
        <f t="shared" si="7"/>
        <v>-42</v>
      </c>
      <c r="L15" s="36">
        <v>130</v>
      </c>
      <c r="M15" s="36">
        <v>-204</v>
      </c>
      <c r="N15" s="36">
        <v>-566</v>
      </c>
      <c r="O15" s="36">
        <v>-251</v>
      </c>
      <c r="P15" s="61">
        <f t="shared" si="8"/>
        <v>-251</v>
      </c>
      <c r="Q15" s="36">
        <v>-31</v>
      </c>
      <c r="R15" s="36">
        <v>-20</v>
      </c>
      <c r="S15" s="36">
        <v>-29</v>
      </c>
      <c r="T15" s="36">
        <v>-36</v>
      </c>
      <c r="U15" s="61">
        <f t="shared" si="9"/>
        <v>-36</v>
      </c>
      <c r="V15" s="36">
        <v>-10</v>
      </c>
      <c r="W15" s="36">
        <v>-51</v>
      </c>
      <c r="X15" s="36">
        <v>142</v>
      </c>
      <c r="Y15" s="36">
        <v>1184</v>
      </c>
      <c r="Z15" s="61">
        <f t="shared" si="10"/>
        <v>1184</v>
      </c>
      <c r="AA15" s="36">
        <v>-293</v>
      </c>
      <c r="AB15" s="36">
        <v>530</v>
      </c>
      <c r="AC15" s="36">
        <v>548</v>
      </c>
      <c r="AD15" s="36">
        <v>565</v>
      </c>
      <c r="AE15" s="61">
        <f t="shared" si="11"/>
        <v>565</v>
      </c>
      <c r="AF15" s="36">
        <v>12</v>
      </c>
      <c r="AG15" s="36">
        <v>12</v>
      </c>
      <c r="AH15" s="36">
        <v>38</v>
      </c>
      <c r="AI15" s="36">
        <v>-19</v>
      </c>
      <c r="AJ15" s="61">
        <f t="shared" si="12"/>
        <v>-19</v>
      </c>
      <c r="AK15" s="36">
        <v>-16</v>
      </c>
      <c r="AL15" s="36">
        <v>460</v>
      </c>
      <c r="AM15" s="36">
        <v>369</v>
      </c>
      <c r="AN15" s="36">
        <v>62</v>
      </c>
      <c r="AO15" s="61">
        <f t="shared" si="13"/>
        <v>62</v>
      </c>
      <c r="AP15" s="36">
        <v>422</v>
      </c>
      <c r="AQ15" s="36">
        <v>335</v>
      </c>
      <c r="AR15" s="36">
        <v>464</v>
      </c>
      <c r="AS15" s="36">
        <v>459</v>
      </c>
      <c r="AT15" s="61">
        <f t="shared" si="14"/>
        <v>459</v>
      </c>
      <c r="AU15" s="36">
        <v>50</v>
      </c>
      <c r="AV15" s="36">
        <v>95</v>
      </c>
      <c r="AW15" s="36">
        <v>191</v>
      </c>
      <c r="AX15" s="36">
        <v>510</v>
      </c>
      <c r="AY15" s="61">
        <f t="shared" si="15"/>
        <v>510</v>
      </c>
      <c r="AZ15" s="36">
        <v>175</v>
      </c>
      <c r="BA15" s="36">
        <v>294</v>
      </c>
      <c r="BB15" s="36">
        <v>193</v>
      </c>
      <c r="BC15" s="36">
        <v>2724</v>
      </c>
      <c r="BD15" s="61">
        <f t="shared" si="16"/>
        <v>2724</v>
      </c>
      <c r="BE15" s="36">
        <v>842</v>
      </c>
      <c r="BF15" s="36">
        <v>688</v>
      </c>
      <c r="BG15" s="36">
        <v>699</v>
      </c>
      <c r="BH15" s="36">
        <v>986</v>
      </c>
      <c r="BI15" s="61">
        <f t="shared" si="17"/>
        <v>986</v>
      </c>
      <c r="BJ15" s="36">
        <v>4</v>
      </c>
      <c r="BK15" s="36">
        <v>-181</v>
      </c>
      <c r="BL15" s="36">
        <v>-1936</v>
      </c>
      <c r="BM15" s="36">
        <v>-3586</v>
      </c>
      <c r="BN15" s="61">
        <f t="shared" si="18"/>
        <v>-3586</v>
      </c>
      <c r="BO15" s="36">
        <v>123</v>
      </c>
      <c r="BP15" s="36">
        <v>170</v>
      </c>
      <c r="BQ15" s="36">
        <v>854</v>
      </c>
      <c r="BR15" s="36">
        <v>3320</v>
      </c>
      <c r="BS15" s="61">
        <f t="shared" si="19"/>
        <v>3320</v>
      </c>
      <c r="BT15" s="36">
        <v>1015</v>
      </c>
      <c r="BU15" s="36">
        <v>2635</v>
      </c>
      <c r="BV15" s="36">
        <v>6823</v>
      </c>
      <c r="BW15" s="36">
        <v>8642</v>
      </c>
      <c r="BX15" s="61">
        <f t="shared" si="1"/>
        <v>8642</v>
      </c>
      <c r="BY15" s="36">
        <v>1462</v>
      </c>
      <c r="BZ15" s="36">
        <v>3571</v>
      </c>
      <c r="CA15" s="36">
        <v>5828</v>
      </c>
      <c r="CB15" s="36">
        <v>8618</v>
      </c>
      <c r="CC15" s="61">
        <f t="shared" si="2"/>
        <v>8618</v>
      </c>
      <c r="CD15" s="36">
        <v>2368</v>
      </c>
      <c r="CE15" s="36">
        <v>3760</v>
      </c>
      <c r="CF15" s="36">
        <v>4195</v>
      </c>
      <c r="CG15" s="36">
        <v>1654</v>
      </c>
      <c r="CH15" s="61">
        <f t="shared" si="3"/>
        <v>1654</v>
      </c>
      <c r="CI15" s="36">
        <v>-4244</v>
      </c>
      <c r="CJ15" s="36">
        <v>-8883</v>
      </c>
      <c r="CK15" s="36">
        <v>-12997</v>
      </c>
      <c r="CL15" s="36">
        <v>-19908</v>
      </c>
      <c r="CM15" s="61">
        <f t="shared" si="4"/>
        <v>-19908</v>
      </c>
      <c r="CN15" s="36">
        <v>-12931</v>
      </c>
      <c r="CO15" s="36">
        <v>-18523</v>
      </c>
      <c r="CP15" s="36"/>
      <c r="CQ15" s="36"/>
      <c r="CR15" s="61">
        <f t="shared" si="5"/>
        <v>0</v>
      </c>
    </row>
    <row r="16" spans="1:96" ht="11.15" customHeight="1" x14ac:dyDescent="0.2">
      <c r="A16" s="21" t="s">
        <v>62</v>
      </c>
      <c r="B16" s="36">
        <v>0</v>
      </c>
      <c r="C16" s="36">
        <v>298</v>
      </c>
      <c r="D16" s="36">
        <v>596</v>
      </c>
      <c r="E16" s="36">
        <v>1037</v>
      </c>
      <c r="F16" s="61">
        <f t="shared" si="6"/>
        <v>1037</v>
      </c>
      <c r="G16" s="36">
        <v>763</v>
      </c>
      <c r="H16" s="36">
        <v>2072</v>
      </c>
      <c r="I16" s="36">
        <v>2555</v>
      </c>
      <c r="J16" s="36">
        <v>4077</v>
      </c>
      <c r="K16" s="61">
        <f t="shared" si="7"/>
        <v>4077</v>
      </c>
      <c r="L16" s="36">
        <v>1710</v>
      </c>
      <c r="M16" s="36">
        <v>3489</v>
      </c>
      <c r="N16" s="36">
        <v>6045</v>
      </c>
      <c r="O16" s="36">
        <v>7902</v>
      </c>
      <c r="P16" s="61">
        <f t="shared" si="8"/>
        <v>7902</v>
      </c>
      <c r="Q16" s="36">
        <v>3728</v>
      </c>
      <c r="R16" s="36">
        <v>6152</v>
      </c>
      <c r="S16" s="36">
        <v>8635</v>
      </c>
      <c r="T16" s="36">
        <v>11353</v>
      </c>
      <c r="U16" s="61">
        <f t="shared" si="9"/>
        <v>11353</v>
      </c>
      <c r="V16" s="36">
        <v>1718</v>
      </c>
      <c r="W16" s="36">
        <v>4475</v>
      </c>
      <c r="X16" s="36">
        <v>8110</v>
      </c>
      <c r="Y16" s="36">
        <v>11377</v>
      </c>
      <c r="Z16" s="61">
        <f t="shared" si="10"/>
        <v>11377</v>
      </c>
      <c r="AA16" s="36">
        <v>3806</v>
      </c>
      <c r="AB16" s="36">
        <v>7056</v>
      </c>
      <c r="AC16" s="36">
        <v>11859</v>
      </c>
      <c r="AD16" s="36">
        <v>15346</v>
      </c>
      <c r="AE16" s="61">
        <f t="shared" si="11"/>
        <v>15346</v>
      </c>
      <c r="AF16" s="36">
        <v>3799</v>
      </c>
      <c r="AG16" s="36">
        <v>8502</v>
      </c>
      <c r="AH16" s="36">
        <v>14762</v>
      </c>
      <c r="AI16" s="36">
        <v>19967</v>
      </c>
      <c r="AJ16" s="61">
        <f t="shared" si="12"/>
        <v>19967</v>
      </c>
      <c r="AK16" s="36">
        <v>3705</v>
      </c>
      <c r="AL16" s="36">
        <v>10255</v>
      </c>
      <c r="AM16" s="36">
        <v>18203</v>
      </c>
      <c r="AN16" s="36">
        <v>29975</v>
      </c>
      <c r="AO16" s="61">
        <f t="shared" si="13"/>
        <v>29975</v>
      </c>
      <c r="AP16" s="36">
        <v>5284</v>
      </c>
      <c r="AQ16" s="36">
        <v>12207</v>
      </c>
      <c r="AR16" s="36">
        <v>19906</v>
      </c>
      <c r="AS16" s="36">
        <v>28036</v>
      </c>
      <c r="AT16" s="61">
        <f t="shared" si="14"/>
        <v>28036</v>
      </c>
      <c r="AU16" s="36">
        <v>8017</v>
      </c>
      <c r="AV16" s="36">
        <v>18804</v>
      </c>
      <c r="AW16" s="36">
        <v>29414</v>
      </c>
      <c r="AX16" s="36">
        <v>39985</v>
      </c>
      <c r="AY16" s="61">
        <f t="shared" si="15"/>
        <v>39985</v>
      </c>
      <c r="AZ16" s="36">
        <v>8927</v>
      </c>
      <c r="BA16" s="36">
        <v>20459</v>
      </c>
      <c r="BB16" s="36">
        <v>33506</v>
      </c>
      <c r="BC16" s="36">
        <v>46469</v>
      </c>
      <c r="BD16" s="61">
        <f t="shared" si="16"/>
        <v>46469</v>
      </c>
      <c r="BE16" s="36">
        <v>9002</v>
      </c>
      <c r="BF16" s="36">
        <v>22754</v>
      </c>
      <c r="BG16" s="36">
        <v>34690</v>
      </c>
      <c r="BH16" s="36">
        <v>44978</v>
      </c>
      <c r="BI16" s="61">
        <f t="shared" si="17"/>
        <v>44978</v>
      </c>
      <c r="BJ16" s="36">
        <v>9318</v>
      </c>
      <c r="BK16" s="36">
        <v>20092</v>
      </c>
      <c r="BL16" s="36">
        <v>30582</v>
      </c>
      <c r="BM16" s="36">
        <v>38862</v>
      </c>
      <c r="BN16" s="61">
        <f t="shared" si="18"/>
        <v>38862</v>
      </c>
      <c r="BO16" s="36">
        <v>9912</v>
      </c>
      <c r="BP16" s="36">
        <v>22697</v>
      </c>
      <c r="BQ16" s="36">
        <v>38748</v>
      </c>
      <c r="BR16" s="36">
        <v>63752</v>
      </c>
      <c r="BS16" s="61">
        <f t="shared" si="19"/>
        <v>63752</v>
      </c>
      <c r="BT16" s="36">
        <v>13486</v>
      </c>
      <c r="BU16" s="36">
        <v>24484</v>
      </c>
      <c r="BV16" s="36">
        <v>42559</v>
      </c>
      <c r="BW16" s="36">
        <v>70572</v>
      </c>
      <c r="BX16" s="61">
        <f t="shared" si="1"/>
        <v>70572</v>
      </c>
      <c r="BY16" s="36">
        <v>16685</v>
      </c>
      <c r="BZ16" s="36">
        <v>32654</v>
      </c>
      <c r="CA16" s="36">
        <v>50364</v>
      </c>
      <c r="CB16" s="36">
        <v>68441</v>
      </c>
      <c r="CC16" s="61">
        <f t="shared" si="2"/>
        <v>68441</v>
      </c>
      <c r="CD16" s="36">
        <v>16142</v>
      </c>
      <c r="CE16" s="36">
        <v>38644</v>
      </c>
      <c r="CF16" s="36">
        <v>58990</v>
      </c>
      <c r="CG16" s="36">
        <v>153652</v>
      </c>
      <c r="CH16" s="61">
        <f t="shared" si="3"/>
        <v>153652</v>
      </c>
      <c r="CI16" s="36">
        <v>17214</v>
      </c>
      <c r="CJ16" s="36">
        <v>31846</v>
      </c>
      <c r="CK16" s="36">
        <v>43889</v>
      </c>
      <c r="CL16" s="36">
        <v>61058</v>
      </c>
      <c r="CM16" s="61">
        <f t="shared" si="4"/>
        <v>61058</v>
      </c>
      <c r="CN16" s="36">
        <v>14761</v>
      </c>
      <c r="CO16" s="36">
        <v>30365</v>
      </c>
      <c r="CP16" s="36"/>
      <c r="CQ16" s="36"/>
      <c r="CR16" s="61">
        <f t="shared" si="5"/>
        <v>0</v>
      </c>
    </row>
    <row r="17" spans="1:96" ht="11.15" customHeight="1" x14ac:dyDescent="0.2">
      <c r="A17" s="21" t="s">
        <v>84</v>
      </c>
      <c r="B17" s="36"/>
      <c r="C17" s="36"/>
      <c r="D17" s="36"/>
      <c r="E17" s="36"/>
      <c r="F17" s="61"/>
      <c r="G17" s="36"/>
      <c r="H17" s="36"/>
      <c r="I17" s="36"/>
      <c r="J17" s="36"/>
      <c r="K17" s="61"/>
      <c r="L17" s="36"/>
      <c r="M17" s="36"/>
      <c r="N17" s="36"/>
      <c r="O17" s="36"/>
      <c r="P17" s="61"/>
      <c r="Q17" s="36"/>
      <c r="R17" s="36"/>
      <c r="S17" s="36"/>
      <c r="T17" s="36"/>
      <c r="U17" s="61"/>
      <c r="V17" s="36"/>
      <c r="W17" s="36"/>
      <c r="X17" s="36"/>
      <c r="Y17" s="36"/>
      <c r="Z17" s="61"/>
      <c r="AA17" s="36"/>
      <c r="AB17" s="36"/>
      <c r="AC17" s="36"/>
      <c r="AD17" s="36"/>
      <c r="AE17" s="61"/>
      <c r="AF17" s="36"/>
      <c r="AG17" s="36"/>
      <c r="AH17" s="36"/>
      <c r="AI17" s="36"/>
      <c r="AJ17" s="61"/>
      <c r="AK17" s="11"/>
      <c r="AL17" s="36"/>
      <c r="AM17" s="36"/>
      <c r="AN17" s="36"/>
      <c r="AO17" s="61"/>
      <c r="AP17" s="36"/>
      <c r="AQ17" s="36"/>
      <c r="AR17" s="36"/>
      <c r="AS17" s="36"/>
      <c r="AT17" s="61"/>
      <c r="AU17" s="11"/>
      <c r="AV17" s="11"/>
      <c r="AW17" s="11"/>
      <c r="AX17" s="11"/>
      <c r="AY17" s="61"/>
      <c r="AZ17" s="11"/>
      <c r="BA17" s="11"/>
      <c r="BB17" s="11"/>
      <c r="BC17" s="11"/>
      <c r="BD17" s="61"/>
      <c r="BE17" s="11"/>
      <c r="BF17" s="11"/>
      <c r="BG17" s="11"/>
      <c r="BH17" s="11"/>
      <c r="BI17" s="61"/>
      <c r="BJ17" s="11"/>
      <c r="BK17" s="11"/>
      <c r="BL17" s="11"/>
      <c r="BM17" s="11"/>
      <c r="BN17" s="61"/>
      <c r="BO17" s="11"/>
      <c r="BP17" s="11"/>
      <c r="BQ17" s="11"/>
      <c r="BR17" s="11"/>
      <c r="BS17" s="61"/>
      <c r="BT17" s="11"/>
      <c r="BU17" s="11"/>
      <c r="BV17" s="11"/>
      <c r="BW17" s="11"/>
      <c r="BX17" s="61"/>
      <c r="BY17" s="11"/>
      <c r="BZ17" s="11"/>
      <c r="CA17" s="11"/>
      <c r="CB17" s="11"/>
      <c r="CC17" s="61"/>
      <c r="CD17" s="11"/>
      <c r="CE17" s="11"/>
      <c r="CF17" s="11"/>
      <c r="CG17" s="11"/>
      <c r="CH17" s="61"/>
      <c r="CI17" s="11"/>
      <c r="CJ17" s="11"/>
      <c r="CK17" s="11"/>
      <c r="CL17" s="11"/>
      <c r="CM17" s="61"/>
      <c r="CN17" s="11"/>
      <c r="CO17" s="11"/>
      <c r="CP17" s="11"/>
      <c r="CQ17" s="11"/>
      <c r="CR17" s="61"/>
    </row>
    <row r="18" spans="1:96" ht="11.15" customHeight="1" x14ac:dyDescent="0.2">
      <c r="A18" s="26" t="s">
        <v>85</v>
      </c>
      <c r="B18" s="36">
        <v>-2439</v>
      </c>
      <c r="C18" s="36">
        <v>-2474</v>
      </c>
      <c r="D18" s="36">
        <v>-6828</v>
      </c>
      <c r="E18" s="36">
        <f>-6876+854</f>
        <v>-6022</v>
      </c>
      <c r="F18" s="61">
        <f t="shared" ref="F18:F24" si="20">E18</f>
        <v>-6022</v>
      </c>
      <c r="G18" s="36">
        <v>-2351</v>
      </c>
      <c r="H18" s="36">
        <v>-4651</v>
      </c>
      <c r="I18" s="36">
        <v>-10174</v>
      </c>
      <c r="J18" s="36">
        <v>-11292</v>
      </c>
      <c r="K18" s="61">
        <f t="shared" ref="K18:K24" si="21">J18</f>
        <v>-11292</v>
      </c>
      <c r="L18" s="36">
        <v>-2188</v>
      </c>
      <c r="M18" s="36">
        <v>-2846</v>
      </c>
      <c r="N18" s="36">
        <v>-6237</v>
      </c>
      <c r="O18" s="36">
        <v>-8466</v>
      </c>
      <c r="P18" s="61">
        <f t="shared" ref="P18:P24" si="22">O18</f>
        <v>-8466</v>
      </c>
      <c r="Q18" s="36">
        <v>10281</v>
      </c>
      <c r="R18" s="36">
        <v>8197</v>
      </c>
      <c r="S18" s="36">
        <v>10730</v>
      </c>
      <c r="T18" s="36">
        <v>9269</v>
      </c>
      <c r="U18" s="61">
        <f t="shared" ref="U18:U24" si="23">T18</f>
        <v>9269</v>
      </c>
      <c r="V18" s="36">
        <v>-897</v>
      </c>
      <c r="W18" s="36">
        <v>-12740</v>
      </c>
      <c r="X18" s="36">
        <v>-24105</v>
      </c>
      <c r="Y18" s="36">
        <v>-27308</v>
      </c>
      <c r="Z18" s="61">
        <f t="shared" ref="Z18:Z24" si="24">Y18</f>
        <v>-27308</v>
      </c>
      <c r="AA18" s="36">
        <v>-2086</v>
      </c>
      <c r="AB18" s="36">
        <v>-16928</v>
      </c>
      <c r="AC18" s="36">
        <v>-26221</v>
      </c>
      <c r="AD18" s="36">
        <v>-23688</v>
      </c>
      <c r="AE18" s="61">
        <f t="shared" ref="AE18:AE24" si="25">AD18</f>
        <v>-23688</v>
      </c>
      <c r="AF18" s="36">
        <v>-12203</v>
      </c>
      <c r="AG18" s="36">
        <v>-13301</v>
      </c>
      <c r="AH18" s="36">
        <v>-36514</v>
      </c>
      <c r="AI18" s="36">
        <v>-22706</v>
      </c>
      <c r="AJ18" s="61">
        <f t="shared" ref="AJ18:AJ24" si="26">AI18</f>
        <v>-22706</v>
      </c>
      <c r="AK18" s="36">
        <v>-8250</v>
      </c>
      <c r="AL18" s="36">
        <v>-21212</v>
      </c>
      <c r="AM18" s="36">
        <v>-26942</v>
      </c>
      <c r="AN18" s="36">
        <v>-9991</v>
      </c>
      <c r="AO18" s="61">
        <f t="shared" ref="AO18:AO24" si="27">AN18</f>
        <v>-9991</v>
      </c>
      <c r="AP18" s="36">
        <v>-4373</v>
      </c>
      <c r="AQ18" s="36">
        <v>-20720</v>
      </c>
      <c r="AR18" s="36">
        <v>-37926</v>
      </c>
      <c r="AS18" s="36">
        <v>-48518</v>
      </c>
      <c r="AT18" s="61">
        <f t="shared" ref="AT18:AT24" si="28">AS18</f>
        <v>-48518</v>
      </c>
      <c r="AU18" s="36">
        <v>-11885</v>
      </c>
      <c r="AV18" s="36">
        <v>-31748</v>
      </c>
      <c r="AW18" s="36">
        <v>-20004</v>
      </c>
      <c r="AX18" s="36">
        <v>-19036</v>
      </c>
      <c r="AY18" s="61">
        <f>AX18</f>
        <v>-19036</v>
      </c>
      <c r="AZ18" s="36">
        <v>8140</v>
      </c>
      <c r="BA18" s="36">
        <v>2885</v>
      </c>
      <c r="BB18" s="36">
        <v>-10853</v>
      </c>
      <c r="BC18" s="36">
        <v>-11444</v>
      </c>
      <c r="BD18" s="61">
        <f>BC18</f>
        <v>-11444</v>
      </c>
      <c r="BE18" s="36">
        <v>-22801</v>
      </c>
      <c r="BF18" s="36">
        <v>-73634</v>
      </c>
      <c r="BG18" s="36">
        <v>-56416</v>
      </c>
      <c r="BH18" s="36">
        <v>-63225</v>
      </c>
      <c r="BI18" s="61">
        <f>BH18</f>
        <v>-63225</v>
      </c>
      <c r="BJ18" s="36">
        <v>7942</v>
      </c>
      <c r="BK18" s="36">
        <v>-9491</v>
      </c>
      <c r="BL18" s="36">
        <v>-26058</v>
      </c>
      <c r="BM18" s="36">
        <v>-18814</v>
      </c>
      <c r="BN18" s="61">
        <f>BM18</f>
        <v>-18814</v>
      </c>
      <c r="BO18" s="36">
        <v>22853</v>
      </c>
      <c r="BP18" s="36">
        <v>-21056</v>
      </c>
      <c r="BQ18" s="36">
        <v>-7562</v>
      </c>
      <c r="BR18" s="36">
        <v>9776</v>
      </c>
      <c r="BS18" s="61">
        <f>BR18</f>
        <v>9776</v>
      </c>
      <c r="BT18" s="36">
        <v>34492</v>
      </c>
      <c r="BU18" s="36">
        <v>33011</v>
      </c>
      <c r="BV18" s="36">
        <v>2308</v>
      </c>
      <c r="BW18" s="36">
        <v>-13022</v>
      </c>
      <c r="BX18" s="61">
        <f>BW18</f>
        <v>-13022</v>
      </c>
      <c r="BY18" s="36">
        <v>7360</v>
      </c>
      <c r="BZ18" s="36">
        <v>12525</v>
      </c>
      <c r="CA18" s="36">
        <v>-12281</v>
      </c>
      <c r="CB18" s="36">
        <v>-2091</v>
      </c>
      <c r="CC18" s="61">
        <f t="shared" ref="CC18:CC24" si="29">CB18</f>
        <v>-2091</v>
      </c>
      <c r="CD18" s="36">
        <v>2621</v>
      </c>
      <c r="CE18" s="36">
        <v>1560</v>
      </c>
      <c r="CF18" s="36">
        <v>42517</v>
      </c>
      <c r="CG18" s="36">
        <v>34100</v>
      </c>
      <c r="CH18" s="61">
        <f t="shared" ref="CH18:CH24" si="30">CG18</f>
        <v>34100</v>
      </c>
      <c r="CI18" s="36">
        <v>-24642</v>
      </c>
      <c r="CJ18" s="36">
        <v>-23876</v>
      </c>
      <c r="CK18" s="36">
        <v>-25026</v>
      </c>
      <c r="CL18" s="36">
        <v>-10395</v>
      </c>
      <c r="CM18" s="61">
        <f t="shared" ref="CM18:CM24" si="31">CL18</f>
        <v>-10395</v>
      </c>
      <c r="CN18" s="36">
        <v>32305</v>
      </c>
      <c r="CO18" s="36">
        <v>38460</v>
      </c>
      <c r="CP18" s="36"/>
      <c r="CQ18" s="36"/>
      <c r="CR18" s="61">
        <f t="shared" ref="CR18:CR24" si="32">CQ18</f>
        <v>0</v>
      </c>
    </row>
    <row r="19" spans="1:96" ht="11.15" customHeight="1" x14ac:dyDescent="0.2">
      <c r="A19" s="26" t="s">
        <v>53</v>
      </c>
      <c r="B19" s="36">
        <v>-1106</v>
      </c>
      <c r="C19" s="36">
        <v>-6389</v>
      </c>
      <c r="D19" s="36">
        <v>-12555</v>
      </c>
      <c r="E19" s="36">
        <v>-19884</v>
      </c>
      <c r="F19" s="61">
        <f t="shared" si="20"/>
        <v>-19884</v>
      </c>
      <c r="G19" s="36">
        <v>-3284</v>
      </c>
      <c r="H19" s="36">
        <v>-11746</v>
      </c>
      <c r="I19" s="36">
        <v>-14599</v>
      </c>
      <c r="J19" s="36">
        <v>-15305</v>
      </c>
      <c r="K19" s="61">
        <f t="shared" si="21"/>
        <v>-15305</v>
      </c>
      <c r="L19" s="36">
        <v>-7298</v>
      </c>
      <c r="M19" s="36">
        <v>-15751</v>
      </c>
      <c r="N19" s="36">
        <v>-21836</v>
      </c>
      <c r="O19" s="36">
        <v>-21661</v>
      </c>
      <c r="P19" s="61">
        <f t="shared" si="22"/>
        <v>-21661</v>
      </c>
      <c r="Q19" s="36">
        <v>859</v>
      </c>
      <c r="R19" s="36">
        <v>1686</v>
      </c>
      <c r="S19" s="36">
        <v>2844</v>
      </c>
      <c r="T19" s="36">
        <v>5600</v>
      </c>
      <c r="U19" s="61">
        <f t="shared" si="23"/>
        <v>5600</v>
      </c>
      <c r="V19" s="36">
        <v>-3349</v>
      </c>
      <c r="W19" s="36">
        <v>-9515</v>
      </c>
      <c r="X19" s="36">
        <v>-18005</v>
      </c>
      <c r="Y19" s="36">
        <v>-27018</v>
      </c>
      <c r="Z19" s="61">
        <f t="shared" si="24"/>
        <v>-27018</v>
      </c>
      <c r="AA19" s="36">
        <v>-13720</v>
      </c>
      <c r="AB19" s="36">
        <v>-35193</v>
      </c>
      <c r="AC19" s="36">
        <v>-52261</v>
      </c>
      <c r="AD19" s="36">
        <v>-56139</v>
      </c>
      <c r="AE19" s="61">
        <f t="shared" si="25"/>
        <v>-56139</v>
      </c>
      <c r="AF19" s="36">
        <v>-4027</v>
      </c>
      <c r="AG19" s="36">
        <v>-10148</v>
      </c>
      <c r="AH19" s="36">
        <v>-17050</v>
      </c>
      <c r="AI19" s="36">
        <v>-22975</v>
      </c>
      <c r="AJ19" s="61">
        <f t="shared" si="26"/>
        <v>-22975</v>
      </c>
      <c r="AK19" s="36">
        <v>-6984</v>
      </c>
      <c r="AL19" s="36">
        <v>-23814</v>
      </c>
      <c r="AM19" s="36">
        <v>-43705</v>
      </c>
      <c r="AN19" s="36">
        <v>-50355</v>
      </c>
      <c r="AO19" s="61">
        <f t="shared" si="27"/>
        <v>-50355</v>
      </c>
      <c r="AP19" s="36">
        <v>-3856</v>
      </c>
      <c r="AQ19" s="36">
        <v>-14988</v>
      </c>
      <c r="AR19" s="36">
        <v>-30220</v>
      </c>
      <c r="AS19" s="36">
        <v>-42246</v>
      </c>
      <c r="AT19" s="61">
        <f t="shared" si="28"/>
        <v>-42246</v>
      </c>
      <c r="AU19" s="36">
        <v>-13898</v>
      </c>
      <c r="AV19" s="36">
        <v>-33211</v>
      </c>
      <c r="AW19" s="36">
        <v>-52172</v>
      </c>
      <c r="AX19" s="36">
        <v>-70565</v>
      </c>
      <c r="AY19" s="61">
        <f>AX19</f>
        <v>-70565</v>
      </c>
      <c r="AZ19" s="36">
        <v>-19365</v>
      </c>
      <c r="BA19" s="36">
        <v>-34668</v>
      </c>
      <c r="BB19" s="36">
        <v>-42814</v>
      </c>
      <c r="BC19" s="36">
        <v>-53626</v>
      </c>
      <c r="BD19" s="61">
        <f>BC19</f>
        <v>-53626</v>
      </c>
      <c r="BE19" s="36">
        <v>-22408</v>
      </c>
      <c r="BF19" s="36">
        <v>-25820</v>
      </c>
      <c r="BG19" s="36">
        <v>-39697</v>
      </c>
      <c r="BH19" s="36">
        <v>-71080</v>
      </c>
      <c r="BI19" s="61">
        <f>BH19</f>
        <v>-71080</v>
      </c>
      <c r="BJ19" s="36">
        <v>-49744</v>
      </c>
      <c r="BK19" s="36">
        <v>-91014</v>
      </c>
      <c r="BL19" s="36">
        <v>-122051</v>
      </c>
      <c r="BM19" s="36">
        <v>-135440</v>
      </c>
      <c r="BN19" s="61">
        <f>BM19</f>
        <v>-135440</v>
      </c>
      <c r="BO19" s="36">
        <v>-19719</v>
      </c>
      <c r="BP19" s="36">
        <v>-40789</v>
      </c>
      <c r="BQ19" s="36">
        <v>-51032</v>
      </c>
      <c r="BR19" s="36">
        <v>-28105</v>
      </c>
      <c r="BS19" s="61">
        <f>BR19</f>
        <v>-28105</v>
      </c>
      <c r="BT19" s="36">
        <v>-10429</v>
      </c>
      <c r="BU19" s="36">
        <v>-15160</v>
      </c>
      <c r="BV19" s="36">
        <v>-34213</v>
      </c>
      <c r="BW19" s="36">
        <v>-39900</v>
      </c>
      <c r="BX19" s="61">
        <f>BW19</f>
        <v>-39900</v>
      </c>
      <c r="BY19" s="36">
        <v>-20084</v>
      </c>
      <c r="BZ19" s="36">
        <v>-61220</v>
      </c>
      <c r="CA19" s="36">
        <v>-105384</v>
      </c>
      <c r="CB19" s="36">
        <v>-149754</v>
      </c>
      <c r="CC19" s="61">
        <f t="shared" si="29"/>
        <v>-149754</v>
      </c>
      <c r="CD19" s="36">
        <v>-50951</v>
      </c>
      <c r="CE19" s="36">
        <v>-99233</v>
      </c>
      <c r="CF19" s="36">
        <v>-148959</v>
      </c>
      <c r="CG19" s="36">
        <v>-189013</v>
      </c>
      <c r="CH19" s="61">
        <f t="shared" si="30"/>
        <v>-189013</v>
      </c>
      <c r="CI19" s="36">
        <v>-8989</v>
      </c>
      <c r="CJ19" s="36">
        <v>-12103</v>
      </c>
      <c r="CK19" s="36">
        <v>-20736</v>
      </c>
      <c r="CL19" s="36">
        <v>1823</v>
      </c>
      <c r="CM19" s="61">
        <f t="shared" si="31"/>
        <v>1823</v>
      </c>
      <c r="CN19" s="36">
        <v>1498</v>
      </c>
      <c r="CO19" s="36">
        <v>17041</v>
      </c>
      <c r="CP19" s="36"/>
      <c r="CQ19" s="36"/>
      <c r="CR19" s="61">
        <f t="shared" si="32"/>
        <v>0</v>
      </c>
    </row>
    <row r="20" spans="1:96" ht="11.15" customHeight="1" x14ac:dyDescent="0.2">
      <c r="A20" s="26" t="s">
        <v>26</v>
      </c>
      <c r="B20" s="36">
        <v>-690</v>
      </c>
      <c r="C20" s="36">
        <v>-1251</v>
      </c>
      <c r="D20" s="36">
        <v>-1488</v>
      </c>
      <c r="E20" s="36">
        <v>-1148</v>
      </c>
      <c r="F20" s="61">
        <f t="shared" si="20"/>
        <v>-1148</v>
      </c>
      <c r="G20" s="36">
        <v>-3218</v>
      </c>
      <c r="H20" s="36">
        <v>-2620</v>
      </c>
      <c r="I20" s="36">
        <v>-7120</v>
      </c>
      <c r="J20" s="36">
        <v>-6756</v>
      </c>
      <c r="K20" s="61">
        <f t="shared" si="21"/>
        <v>-6756</v>
      </c>
      <c r="L20" s="36">
        <v>618</v>
      </c>
      <c r="M20" s="36">
        <v>1032</v>
      </c>
      <c r="N20" s="36">
        <v>3530</v>
      </c>
      <c r="O20" s="36">
        <v>6810</v>
      </c>
      <c r="P20" s="61">
        <f t="shared" si="22"/>
        <v>6810</v>
      </c>
      <c r="Q20" s="36">
        <v>-1626</v>
      </c>
      <c r="R20" s="36">
        <v>398</v>
      </c>
      <c r="S20" s="36">
        <v>-264</v>
      </c>
      <c r="T20" s="36">
        <v>679</v>
      </c>
      <c r="U20" s="61">
        <f t="shared" si="23"/>
        <v>679</v>
      </c>
      <c r="V20" s="36">
        <v>38</v>
      </c>
      <c r="W20" s="36">
        <v>391</v>
      </c>
      <c r="X20" s="36">
        <v>-969</v>
      </c>
      <c r="Y20" s="36">
        <v>-4707</v>
      </c>
      <c r="Z20" s="61">
        <f t="shared" si="24"/>
        <v>-4707</v>
      </c>
      <c r="AA20" s="36">
        <v>-4610</v>
      </c>
      <c r="AB20" s="36">
        <v>-4555</v>
      </c>
      <c r="AC20" s="36">
        <v>-1748</v>
      </c>
      <c r="AD20" s="36">
        <v>-770</v>
      </c>
      <c r="AE20" s="61">
        <f t="shared" si="25"/>
        <v>-770</v>
      </c>
      <c r="AF20" s="36">
        <v>-2395</v>
      </c>
      <c r="AG20" s="36">
        <v>-1296</v>
      </c>
      <c r="AH20" s="36">
        <v>-3335</v>
      </c>
      <c r="AI20" s="36">
        <v>-899</v>
      </c>
      <c r="AJ20" s="61">
        <f t="shared" si="26"/>
        <v>-899</v>
      </c>
      <c r="AK20" s="36">
        <v>-2212</v>
      </c>
      <c r="AL20" s="36">
        <v>-1503</v>
      </c>
      <c r="AM20" s="36">
        <v>-3478</v>
      </c>
      <c r="AN20" s="36">
        <v>-3980</v>
      </c>
      <c r="AO20" s="61">
        <f t="shared" si="27"/>
        <v>-3980</v>
      </c>
      <c r="AP20" s="36">
        <v>-4731</v>
      </c>
      <c r="AQ20" s="36">
        <v>436</v>
      </c>
      <c r="AR20" s="36">
        <v>202</v>
      </c>
      <c r="AS20" s="36">
        <v>-5351</v>
      </c>
      <c r="AT20" s="61">
        <f t="shared" si="28"/>
        <v>-5351</v>
      </c>
      <c r="AU20" s="36">
        <v>-723</v>
      </c>
      <c r="AV20" s="36">
        <v>1945</v>
      </c>
      <c r="AW20" s="36">
        <v>2062</v>
      </c>
      <c r="AX20" s="36">
        <v>1853</v>
      </c>
      <c r="AY20" s="61">
        <f>AX20</f>
        <v>1853</v>
      </c>
      <c r="AZ20" s="36">
        <v>-178</v>
      </c>
      <c r="BA20" s="36">
        <v>-652</v>
      </c>
      <c r="BB20" s="36">
        <v>-4102</v>
      </c>
      <c r="BC20" s="36">
        <v>-4069</v>
      </c>
      <c r="BD20" s="61">
        <f>BC20</f>
        <v>-4069</v>
      </c>
      <c r="BE20" s="36">
        <v>-3972</v>
      </c>
      <c r="BF20" s="36">
        <v>-2768</v>
      </c>
      <c r="BG20" s="36">
        <v>-1560</v>
      </c>
      <c r="BH20" s="36">
        <v>-911</v>
      </c>
      <c r="BI20" s="61">
        <f>BH20</f>
        <v>-911</v>
      </c>
      <c r="BJ20" s="36">
        <v>-2138</v>
      </c>
      <c r="BK20" s="36">
        <v>-1991</v>
      </c>
      <c r="BL20" s="36">
        <v>-4925</v>
      </c>
      <c r="BM20" s="36">
        <v>-7062</v>
      </c>
      <c r="BN20" s="61">
        <f>BM20</f>
        <v>-7062</v>
      </c>
      <c r="BO20" s="36">
        <v>1284</v>
      </c>
      <c r="BP20" s="36">
        <v>8616</v>
      </c>
      <c r="BQ20" s="36">
        <v>11087</v>
      </c>
      <c r="BR20" s="36">
        <v>18405</v>
      </c>
      <c r="BS20" s="61">
        <f>BR20</f>
        <v>18405</v>
      </c>
      <c r="BT20" s="36">
        <v>-9119</v>
      </c>
      <c r="BU20" s="36">
        <v>-2193</v>
      </c>
      <c r="BV20" s="36">
        <v>-2065</v>
      </c>
      <c r="BW20" s="36">
        <v>-3802</v>
      </c>
      <c r="BX20" s="61">
        <f>BW20</f>
        <v>-3802</v>
      </c>
      <c r="BY20" s="36">
        <v>-1052</v>
      </c>
      <c r="BZ20" s="36">
        <v>-2187</v>
      </c>
      <c r="CA20" s="36">
        <v>-8823</v>
      </c>
      <c r="CB20" s="36">
        <v>-23697</v>
      </c>
      <c r="CC20" s="61">
        <f t="shared" si="29"/>
        <v>-23697</v>
      </c>
      <c r="CD20" s="36">
        <v>3052</v>
      </c>
      <c r="CE20" s="36">
        <v>4922</v>
      </c>
      <c r="CF20" s="36">
        <v>6584</v>
      </c>
      <c r="CG20" s="36">
        <v>22545</v>
      </c>
      <c r="CH20" s="61">
        <f t="shared" si="30"/>
        <v>22545</v>
      </c>
      <c r="CI20" s="36">
        <v>-10419</v>
      </c>
      <c r="CJ20" s="36">
        <v>-15480</v>
      </c>
      <c r="CK20" s="36">
        <v>-5504</v>
      </c>
      <c r="CL20" s="36">
        <v>-2025</v>
      </c>
      <c r="CM20" s="61">
        <f t="shared" si="31"/>
        <v>-2025</v>
      </c>
      <c r="CN20" s="36">
        <v>-7343</v>
      </c>
      <c r="CO20" s="36">
        <v>-7143</v>
      </c>
      <c r="CP20" s="36"/>
      <c r="CQ20" s="36"/>
      <c r="CR20" s="61">
        <f t="shared" si="32"/>
        <v>0</v>
      </c>
    </row>
    <row r="21" spans="1:96" ht="11.15" customHeight="1" x14ac:dyDescent="0.2">
      <c r="A21" s="26" t="s">
        <v>27</v>
      </c>
      <c r="B21" s="36">
        <v>387</v>
      </c>
      <c r="C21" s="36">
        <v>678</v>
      </c>
      <c r="D21" s="36">
        <v>1260</v>
      </c>
      <c r="E21" s="36">
        <v>342</v>
      </c>
      <c r="F21" s="61">
        <f t="shared" si="20"/>
        <v>342</v>
      </c>
      <c r="G21" s="36">
        <v>-93</v>
      </c>
      <c r="H21" s="36">
        <v>2840</v>
      </c>
      <c r="I21" s="36">
        <v>1019</v>
      </c>
      <c r="J21" s="36">
        <v>1086</v>
      </c>
      <c r="K21" s="61">
        <f t="shared" si="21"/>
        <v>1086</v>
      </c>
      <c r="L21" s="36">
        <v>798</v>
      </c>
      <c r="M21" s="36">
        <v>-469</v>
      </c>
      <c r="N21" s="36">
        <v>519</v>
      </c>
      <c r="O21" s="36">
        <v>-2267</v>
      </c>
      <c r="P21" s="61">
        <f t="shared" si="22"/>
        <v>-2267</v>
      </c>
      <c r="Q21" s="36">
        <v>-1156</v>
      </c>
      <c r="R21" s="36">
        <v>-335</v>
      </c>
      <c r="S21" s="36">
        <v>-1481</v>
      </c>
      <c r="T21" s="36">
        <v>-498</v>
      </c>
      <c r="U21" s="61">
        <f t="shared" si="23"/>
        <v>-498</v>
      </c>
      <c r="V21" s="36">
        <v>-399</v>
      </c>
      <c r="W21" s="36">
        <v>4191</v>
      </c>
      <c r="X21" s="36">
        <v>3470</v>
      </c>
      <c r="Y21" s="36">
        <v>3411</v>
      </c>
      <c r="Z21" s="61">
        <f t="shared" si="24"/>
        <v>3411</v>
      </c>
      <c r="AA21" s="36">
        <v>3129</v>
      </c>
      <c r="AB21" s="36">
        <v>4888</v>
      </c>
      <c r="AC21" s="36">
        <v>5475</v>
      </c>
      <c r="AD21" s="36">
        <v>1985</v>
      </c>
      <c r="AE21" s="61">
        <f t="shared" si="25"/>
        <v>1985</v>
      </c>
      <c r="AF21" s="36">
        <v>702</v>
      </c>
      <c r="AG21" s="36">
        <v>2184</v>
      </c>
      <c r="AH21" s="36">
        <v>2170</v>
      </c>
      <c r="AI21" s="36">
        <v>4375</v>
      </c>
      <c r="AJ21" s="61">
        <f t="shared" si="26"/>
        <v>4375</v>
      </c>
      <c r="AK21" s="36">
        <v>-1936</v>
      </c>
      <c r="AL21" s="36">
        <v>2508</v>
      </c>
      <c r="AM21" s="36">
        <v>-2008</v>
      </c>
      <c r="AN21" s="36">
        <v>974</v>
      </c>
      <c r="AO21" s="61">
        <f t="shared" si="27"/>
        <v>974</v>
      </c>
      <c r="AP21" s="36">
        <v>516</v>
      </c>
      <c r="AQ21" s="36">
        <v>-2684</v>
      </c>
      <c r="AR21" s="36">
        <v>1324</v>
      </c>
      <c r="AS21" s="36">
        <v>3262</v>
      </c>
      <c r="AT21" s="61">
        <f t="shared" si="28"/>
        <v>3262</v>
      </c>
      <c r="AU21" s="36">
        <v>-1231</v>
      </c>
      <c r="AV21" s="36">
        <v>4422</v>
      </c>
      <c r="AW21" s="36">
        <v>4519</v>
      </c>
      <c r="AX21" s="36">
        <v>9806</v>
      </c>
      <c r="AY21" s="61">
        <f t="shared" ref="AY21:AY23" si="33">AX21</f>
        <v>9806</v>
      </c>
      <c r="AZ21" s="36">
        <v>-6749</v>
      </c>
      <c r="BA21" s="36">
        <v>-8441</v>
      </c>
      <c r="BB21" s="36">
        <v>-9816</v>
      </c>
      <c r="BC21" s="36">
        <v>-407</v>
      </c>
      <c r="BD21" s="61">
        <f t="shared" ref="BD21:BD23" si="34">BC21</f>
        <v>-407</v>
      </c>
      <c r="BE21" s="36">
        <v>-1560</v>
      </c>
      <c r="BF21" s="36">
        <v>1914</v>
      </c>
      <c r="BG21" s="36">
        <v>3423</v>
      </c>
      <c r="BH21" s="36">
        <v>2309</v>
      </c>
      <c r="BI21" s="61">
        <f t="shared" ref="BI21:BI23" si="35">BH21</f>
        <v>2309</v>
      </c>
      <c r="BJ21" s="36">
        <v>1134</v>
      </c>
      <c r="BK21" s="36">
        <v>9527</v>
      </c>
      <c r="BL21" s="36">
        <v>-1319</v>
      </c>
      <c r="BM21" s="36">
        <v>-1426</v>
      </c>
      <c r="BN21" s="61">
        <f t="shared" ref="BN21:BN23" si="36">BM21</f>
        <v>-1426</v>
      </c>
      <c r="BO21" s="36">
        <v>1955</v>
      </c>
      <c r="BP21" s="36">
        <v>-445</v>
      </c>
      <c r="BQ21" s="36">
        <v>-8137</v>
      </c>
      <c r="BR21" s="36">
        <v>-10257</v>
      </c>
      <c r="BS21" s="61">
        <f t="shared" ref="BS21:BS23" si="37">BR21</f>
        <v>-10257</v>
      </c>
      <c r="BT21" s="36">
        <v>6054</v>
      </c>
      <c r="BU21" s="36">
        <v>13245</v>
      </c>
      <c r="BV21" s="36">
        <v>8819</v>
      </c>
      <c r="BW21" s="36">
        <v>-1942</v>
      </c>
      <c r="BX21" s="61">
        <f t="shared" ref="BX21:BX23" si="38">BW21</f>
        <v>-1942</v>
      </c>
      <c r="BY21" s="36">
        <v>18980</v>
      </c>
      <c r="BZ21" s="36">
        <v>24879</v>
      </c>
      <c r="CA21" s="36">
        <v>26296</v>
      </c>
      <c r="CB21" s="36">
        <v>30997</v>
      </c>
      <c r="CC21" s="61">
        <f t="shared" si="29"/>
        <v>30997</v>
      </c>
      <c r="CD21" s="36">
        <v>-8448</v>
      </c>
      <c r="CE21" s="36">
        <v>3131</v>
      </c>
      <c r="CF21" s="36">
        <v>-2837</v>
      </c>
      <c r="CG21" s="36">
        <v>-12174</v>
      </c>
      <c r="CH21" s="61">
        <f t="shared" si="30"/>
        <v>-12174</v>
      </c>
      <c r="CI21" s="36">
        <v>-4600</v>
      </c>
      <c r="CJ21" s="36">
        <v>-7472</v>
      </c>
      <c r="CK21" s="36">
        <v>-10231</v>
      </c>
      <c r="CL21" s="36">
        <v>-16319</v>
      </c>
      <c r="CM21" s="61">
        <f t="shared" si="31"/>
        <v>-16319</v>
      </c>
      <c r="CN21" s="36">
        <v>274</v>
      </c>
      <c r="CO21" s="36">
        <v>1276</v>
      </c>
      <c r="CP21" s="36"/>
      <c r="CQ21" s="36"/>
      <c r="CR21" s="61">
        <f t="shared" si="32"/>
        <v>0</v>
      </c>
    </row>
    <row r="22" spans="1:96" ht="11.15" customHeight="1" x14ac:dyDescent="0.2">
      <c r="A22" s="26" t="s">
        <v>57</v>
      </c>
      <c r="B22" s="36">
        <v>2163</v>
      </c>
      <c r="C22" s="36">
        <v>976</v>
      </c>
      <c r="D22" s="36">
        <f>-63-5100+2904</f>
        <v>-2259</v>
      </c>
      <c r="E22" s="36">
        <f>-5100+3447</f>
        <v>-1653</v>
      </c>
      <c r="F22" s="61">
        <f t="shared" si="20"/>
        <v>-1653</v>
      </c>
      <c r="G22" s="36">
        <v>-550</v>
      </c>
      <c r="H22" s="36">
        <v>-273</v>
      </c>
      <c r="I22" s="36">
        <v>1715</v>
      </c>
      <c r="J22" s="36">
        <v>-2889</v>
      </c>
      <c r="K22" s="61">
        <f t="shared" si="21"/>
        <v>-2889</v>
      </c>
      <c r="L22" s="36">
        <v>-649</v>
      </c>
      <c r="M22" s="36">
        <v>-330</v>
      </c>
      <c r="N22" s="36">
        <v>2314</v>
      </c>
      <c r="O22" s="36">
        <v>-304</v>
      </c>
      <c r="P22" s="61">
        <f t="shared" si="22"/>
        <v>-304</v>
      </c>
      <c r="Q22" s="36">
        <v>-697</v>
      </c>
      <c r="R22" s="36">
        <v>-406</v>
      </c>
      <c r="S22" s="36">
        <v>760</v>
      </c>
      <c r="T22" s="36">
        <v>-72</v>
      </c>
      <c r="U22" s="61">
        <f t="shared" si="23"/>
        <v>-72</v>
      </c>
      <c r="V22" s="36">
        <v>3634</v>
      </c>
      <c r="W22" s="36">
        <v>13237</v>
      </c>
      <c r="X22" s="36">
        <v>15962</v>
      </c>
      <c r="Y22" s="36">
        <v>22119</v>
      </c>
      <c r="Z22" s="61">
        <f t="shared" si="24"/>
        <v>22119</v>
      </c>
      <c r="AA22" s="36">
        <v>-5975</v>
      </c>
      <c r="AB22" s="36">
        <v>-2693</v>
      </c>
      <c r="AC22" s="36">
        <v>-2473</v>
      </c>
      <c r="AD22" s="36">
        <v>-6811</v>
      </c>
      <c r="AE22" s="61">
        <f t="shared" si="25"/>
        <v>-6811</v>
      </c>
      <c r="AF22" s="36">
        <v>-6383</v>
      </c>
      <c r="AG22" s="36">
        <v>-3922</v>
      </c>
      <c r="AH22" s="36">
        <v>-1281</v>
      </c>
      <c r="AI22" s="36">
        <v>-8155</v>
      </c>
      <c r="AJ22" s="61">
        <f t="shared" si="26"/>
        <v>-8155</v>
      </c>
      <c r="AK22" s="36">
        <v>-2658</v>
      </c>
      <c r="AL22" s="36">
        <v>-880</v>
      </c>
      <c r="AM22" s="36">
        <v>2734</v>
      </c>
      <c r="AN22" s="36">
        <v>-281</v>
      </c>
      <c r="AO22" s="61">
        <f t="shared" si="27"/>
        <v>-281</v>
      </c>
      <c r="AP22" s="36">
        <v>3934</v>
      </c>
      <c r="AQ22" s="36">
        <v>-170</v>
      </c>
      <c r="AR22" s="36">
        <v>2653</v>
      </c>
      <c r="AS22" s="36">
        <v>-1567</v>
      </c>
      <c r="AT22" s="61">
        <f t="shared" si="28"/>
        <v>-1567</v>
      </c>
      <c r="AU22" s="36">
        <v>-2774</v>
      </c>
      <c r="AV22" s="36">
        <v>-2397</v>
      </c>
      <c r="AW22" s="36">
        <v>3656</v>
      </c>
      <c r="AX22" s="36">
        <v>613</v>
      </c>
      <c r="AY22" s="61">
        <f t="shared" si="33"/>
        <v>613</v>
      </c>
      <c r="AZ22" s="36">
        <v>-8378</v>
      </c>
      <c r="BA22" s="36">
        <v>-4341</v>
      </c>
      <c r="BB22" s="36">
        <v>3848</v>
      </c>
      <c r="BC22" s="36">
        <v>5480</v>
      </c>
      <c r="BD22" s="61">
        <f t="shared" si="34"/>
        <v>5480</v>
      </c>
      <c r="BE22" s="36">
        <v>-659</v>
      </c>
      <c r="BF22" s="36">
        <v>2102</v>
      </c>
      <c r="BG22" s="36">
        <v>1809</v>
      </c>
      <c r="BH22" s="36">
        <v>9612</v>
      </c>
      <c r="BI22" s="61">
        <f t="shared" si="35"/>
        <v>9612</v>
      </c>
      <c r="BJ22" s="36">
        <v>-9509</v>
      </c>
      <c r="BK22" s="36">
        <v>-17860</v>
      </c>
      <c r="BL22" s="36">
        <v>-20095</v>
      </c>
      <c r="BM22" s="36">
        <v>-19666</v>
      </c>
      <c r="BN22" s="61">
        <f t="shared" si="36"/>
        <v>-19666</v>
      </c>
      <c r="BO22" s="36">
        <v>-10274</v>
      </c>
      <c r="BP22" s="36">
        <v>-9320</v>
      </c>
      <c r="BQ22" s="36">
        <v>-26113</v>
      </c>
      <c r="BR22" s="36">
        <v>-37310</v>
      </c>
      <c r="BS22" s="61">
        <f t="shared" si="37"/>
        <v>-37310</v>
      </c>
      <c r="BT22" s="36">
        <v>-6477</v>
      </c>
      <c r="BU22" s="36">
        <v>-15590</v>
      </c>
      <c r="BV22" s="36">
        <v>-17492</v>
      </c>
      <c r="BW22" s="36">
        <v>-14752</v>
      </c>
      <c r="BX22" s="61">
        <f t="shared" si="38"/>
        <v>-14752</v>
      </c>
      <c r="BY22" s="36">
        <v>-17961</v>
      </c>
      <c r="BZ22" s="36">
        <v>595</v>
      </c>
      <c r="CA22" s="36">
        <v>7963</v>
      </c>
      <c r="CB22" s="36">
        <v>24715</v>
      </c>
      <c r="CC22" s="61">
        <f t="shared" si="29"/>
        <v>24715</v>
      </c>
      <c r="CD22" s="36">
        <v>-31448</v>
      </c>
      <c r="CE22" s="36">
        <v>-35842</v>
      </c>
      <c r="CF22" s="36">
        <v>-40327</v>
      </c>
      <c r="CG22" s="36">
        <v>-43547</v>
      </c>
      <c r="CH22" s="61">
        <f t="shared" si="30"/>
        <v>-43547</v>
      </c>
      <c r="CI22" s="36">
        <v>-19120</v>
      </c>
      <c r="CJ22" s="36">
        <v>-27736</v>
      </c>
      <c r="CK22" s="36">
        <v>-39646</v>
      </c>
      <c r="CL22" s="36">
        <v>-44693</v>
      </c>
      <c r="CM22" s="61">
        <f t="shared" si="31"/>
        <v>-44693</v>
      </c>
      <c r="CN22" s="36">
        <v>-26230</v>
      </c>
      <c r="CO22" s="36">
        <v>-28265</v>
      </c>
      <c r="CP22" s="36"/>
      <c r="CQ22" s="36"/>
      <c r="CR22" s="61">
        <f t="shared" si="32"/>
        <v>0</v>
      </c>
    </row>
    <row r="23" spans="1:96" ht="11.15" customHeight="1" x14ac:dyDescent="0.2">
      <c r="A23" s="26" t="s">
        <v>86</v>
      </c>
      <c r="B23" s="36">
        <v>-769</v>
      </c>
      <c r="C23" s="36">
        <v>411</v>
      </c>
      <c r="D23" s="36">
        <v>6417</v>
      </c>
      <c r="E23" s="36">
        <v>7165</v>
      </c>
      <c r="F23" s="61">
        <f t="shared" si="20"/>
        <v>7165</v>
      </c>
      <c r="G23" s="36">
        <v>-855</v>
      </c>
      <c r="H23" s="36">
        <v>-7117</v>
      </c>
      <c r="I23" s="36">
        <v>-9823</v>
      </c>
      <c r="J23" s="36">
        <v>-11004</v>
      </c>
      <c r="K23" s="61">
        <f t="shared" si="21"/>
        <v>-11004</v>
      </c>
      <c r="L23" s="36">
        <v>2132</v>
      </c>
      <c r="M23" s="36">
        <v>3930</v>
      </c>
      <c r="N23" s="36">
        <v>3140</v>
      </c>
      <c r="O23" s="36">
        <v>-2122</v>
      </c>
      <c r="P23" s="61">
        <f t="shared" si="22"/>
        <v>-2122</v>
      </c>
      <c r="Q23" s="36">
        <v>2772</v>
      </c>
      <c r="R23" s="36">
        <v>2703</v>
      </c>
      <c r="S23" s="36">
        <v>5396</v>
      </c>
      <c r="T23" s="36">
        <v>3951</v>
      </c>
      <c r="U23" s="61">
        <f t="shared" si="23"/>
        <v>3951</v>
      </c>
      <c r="V23" s="36">
        <v>236</v>
      </c>
      <c r="W23" s="36">
        <v>2773</v>
      </c>
      <c r="X23" s="36">
        <v>1540</v>
      </c>
      <c r="Y23" s="36">
        <v>12911</v>
      </c>
      <c r="Z23" s="61">
        <f t="shared" si="24"/>
        <v>12911</v>
      </c>
      <c r="AA23" s="36">
        <v>-4577</v>
      </c>
      <c r="AB23" s="36">
        <v>1829</v>
      </c>
      <c r="AC23" s="36">
        <v>14428</v>
      </c>
      <c r="AD23" s="36">
        <v>12929</v>
      </c>
      <c r="AE23" s="61">
        <f t="shared" si="25"/>
        <v>12929</v>
      </c>
      <c r="AF23" s="36">
        <v>5186</v>
      </c>
      <c r="AG23" s="36">
        <v>11041</v>
      </c>
      <c r="AH23" s="36">
        <v>19038</v>
      </c>
      <c r="AI23" s="36">
        <v>21118</v>
      </c>
      <c r="AJ23" s="61">
        <f t="shared" si="26"/>
        <v>21118</v>
      </c>
      <c r="AK23" s="36">
        <v>-40243</v>
      </c>
      <c r="AL23" s="36">
        <v>-32412</v>
      </c>
      <c r="AM23" s="36">
        <v>-25186</v>
      </c>
      <c r="AN23" s="36">
        <v>-30784</v>
      </c>
      <c r="AO23" s="61">
        <f t="shared" si="27"/>
        <v>-30784</v>
      </c>
      <c r="AP23" s="36">
        <v>-175</v>
      </c>
      <c r="AQ23" s="36">
        <v>-1071</v>
      </c>
      <c r="AR23" s="36">
        <v>-609</v>
      </c>
      <c r="AS23" s="36">
        <v>5763</v>
      </c>
      <c r="AT23" s="61">
        <f t="shared" si="28"/>
        <v>5763</v>
      </c>
      <c r="AU23" s="36">
        <v>7716</v>
      </c>
      <c r="AV23" s="36">
        <v>7067</v>
      </c>
      <c r="AW23" s="36">
        <v>17501</v>
      </c>
      <c r="AX23" s="36">
        <v>9529</v>
      </c>
      <c r="AY23" s="61">
        <f t="shared" si="33"/>
        <v>9529</v>
      </c>
      <c r="AZ23" s="36">
        <v>14583</v>
      </c>
      <c r="BA23" s="36">
        <v>-10653</v>
      </c>
      <c r="BB23" s="36">
        <v>-7439</v>
      </c>
      <c r="BC23" s="36">
        <v>-10746</v>
      </c>
      <c r="BD23" s="61">
        <f t="shared" si="34"/>
        <v>-10746</v>
      </c>
      <c r="BE23" s="36">
        <v>-10081</v>
      </c>
      <c r="BF23" s="36">
        <v>-22013</v>
      </c>
      <c r="BG23" s="36">
        <v>-26866</v>
      </c>
      <c r="BH23" s="36">
        <v>16719</v>
      </c>
      <c r="BI23" s="61">
        <f t="shared" si="35"/>
        <v>16719</v>
      </c>
      <c r="BJ23" s="36">
        <v>5264</v>
      </c>
      <c r="BK23" s="36">
        <v>14026</v>
      </c>
      <c r="BL23" s="36">
        <v>15838</v>
      </c>
      <c r="BM23" s="36">
        <v>35212</v>
      </c>
      <c r="BN23" s="61">
        <f t="shared" si="36"/>
        <v>35212</v>
      </c>
      <c r="BO23" s="36">
        <v>-57801</v>
      </c>
      <c r="BP23" s="36">
        <v>-56861</v>
      </c>
      <c r="BQ23" s="36">
        <v>-49748</v>
      </c>
      <c r="BR23" s="36">
        <v>-43937</v>
      </c>
      <c r="BS23" s="61">
        <f t="shared" si="37"/>
        <v>-43937</v>
      </c>
      <c r="BT23" s="36">
        <v>-21012</v>
      </c>
      <c r="BU23" s="36">
        <v>-43836</v>
      </c>
      <c r="BV23" s="36">
        <v>-28345</v>
      </c>
      <c r="BW23" s="36">
        <v>-23337</v>
      </c>
      <c r="BX23" s="61">
        <f t="shared" si="38"/>
        <v>-23337</v>
      </c>
      <c r="BY23" s="36">
        <v>-14847</v>
      </c>
      <c r="BZ23" s="36">
        <v>-8596</v>
      </c>
      <c r="CA23" s="36">
        <v>37002</v>
      </c>
      <c r="CB23" s="36">
        <v>35856</v>
      </c>
      <c r="CC23" s="61">
        <f t="shared" si="29"/>
        <v>35856</v>
      </c>
      <c r="CD23" s="36">
        <v>-14180</v>
      </c>
      <c r="CE23" s="36">
        <v>-17663</v>
      </c>
      <c r="CF23" s="36">
        <v>-17823</v>
      </c>
      <c r="CG23" s="36">
        <v>-14132</v>
      </c>
      <c r="CH23" s="61">
        <f t="shared" si="30"/>
        <v>-14132</v>
      </c>
      <c r="CI23" s="36">
        <v>-9749</v>
      </c>
      <c r="CJ23" s="36">
        <v>-12647</v>
      </c>
      <c r="CK23" s="36">
        <v>12298</v>
      </c>
      <c r="CL23" s="36">
        <v>17053</v>
      </c>
      <c r="CM23" s="61">
        <f t="shared" si="31"/>
        <v>17053</v>
      </c>
      <c r="CN23" s="36">
        <v>-1125</v>
      </c>
      <c r="CO23" s="36">
        <v>-19431</v>
      </c>
      <c r="CP23" s="36"/>
      <c r="CQ23" s="36"/>
      <c r="CR23" s="61">
        <f t="shared" si="32"/>
        <v>0</v>
      </c>
    </row>
    <row r="24" spans="1:96" s="2" customFormat="1" ht="11.15" customHeight="1" x14ac:dyDescent="0.25">
      <c r="A24" s="27" t="s">
        <v>33</v>
      </c>
      <c r="B24" s="12">
        <f>SUM(B6:B23)</f>
        <v>6794</v>
      </c>
      <c r="C24" s="12">
        <f>SUM(C6:C23)</f>
        <v>10308</v>
      </c>
      <c r="D24" s="12">
        <f>SUM(D6:D23)</f>
        <v>9875</v>
      </c>
      <c r="E24" s="12">
        <f>SUM(E6:E23)</f>
        <v>19202</v>
      </c>
      <c r="F24" s="60">
        <f t="shared" si="20"/>
        <v>19202</v>
      </c>
      <c r="G24" s="12">
        <f>SUM(G6:G23)</f>
        <v>578</v>
      </c>
      <c r="H24" s="12">
        <f>SUM(H6:H23)</f>
        <v>-1991</v>
      </c>
      <c r="I24" s="12">
        <f>SUM(I6:I23)</f>
        <v>-506</v>
      </c>
      <c r="J24" s="12">
        <f>SUM(J6:J23)</f>
        <v>10657</v>
      </c>
      <c r="K24" s="60">
        <f t="shared" si="21"/>
        <v>10657</v>
      </c>
      <c r="L24" s="12">
        <f>SUM(L6:L23)</f>
        <v>5359</v>
      </c>
      <c r="M24" s="12">
        <f>SUM(M6:M23)</f>
        <v>11648</v>
      </c>
      <c r="N24" s="12">
        <f>SUM(N6:N23)</f>
        <v>25026</v>
      </c>
      <c r="O24" s="12">
        <f>SUM(O6:O23)</f>
        <v>34671</v>
      </c>
      <c r="P24" s="60">
        <f t="shared" si="22"/>
        <v>34671</v>
      </c>
      <c r="Q24" s="12">
        <f>SUM(Q6:Q23)</f>
        <v>17510</v>
      </c>
      <c r="R24" s="12">
        <f>SUM(R6:R23)</f>
        <v>23800</v>
      </c>
      <c r="S24" s="12">
        <f>SUM(S6:S23)</f>
        <v>37692</v>
      </c>
      <c r="T24" s="12">
        <f>SUM(T6:T23)</f>
        <v>54405</v>
      </c>
      <c r="U24" s="60">
        <f t="shared" si="23"/>
        <v>54405</v>
      </c>
      <c r="V24" s="12">
        <f>SUM(V6:V23)</f>
        <v>7876</v>
      </c>
      <c r="W24" s="12">
        <f>SUM(W6:W23)</f>
        <v>23438</v>
      </c>
      <c r="X24" s="12">
        <f>SUM(X6:X23)</f>
        <v>29407</v>
      </c>
      <c r="Y24" s="12">
        <f>SUM(Y6:Y23)</f>
        <v>70875</v>
      </c>
      <c r="Z24" s="60">
        <f t="shared" si="24"/>
        <v>70875</v>
      </c>
      <c r="AA24" s="12">
        <f>SUM(AA6:AA23)</f>
        <v>13262</v>
      </c>
      <c r="AB24" s="12">
        <f>SUM(AB6:AB23)</f>
        <v>33250</v>
      </c>
      <c r="AC24" s="12">
        <f>SUM(AC6:AC23)</f>
        <v>63505</v>
      </c>
      <c r="AD24" s="12">
        <f>SUM(AD6:AD23)</f>
        <v>95384</v>
      </c>
      <c r="AE24" s="60">
        <f t="shared" si="25"/>
        <v>95384</v>
      </c>
      <c r="AF24" s="12">
        <f>SUM(AF6:AF23)</f>
        <v>28053</v>
      </c>
      <c r="AG24" s="12">
        <f>SUM(AG6:AG23)</f>
        <v>79550</v>
      </c>
      <c r="AH24" s="12">
        <f>SUM(AH6:AH23)</f>
        <v>120375</v>
      </c>
      <c r="AI24" s="12">
        <f>SUM(AI6:AI23)</f>
        <v>179955</v>
      </c>
      <c r="AJ24" s="60">
        <f t="shared" si="26"/>
        <v>179955</v>
      </c>
      <c r="AK24" s="12">
        <f>SUM(AK6:AK23)</f>
        <v>-9875</v>
      </c>
      <c r="AL24" s="12">
        <f>SUM(AL6:AL23)</f>
        <v>26630</v>
      </c>
      <c r="AM24" s="12">
        <f>SUM(AM6:AM23)</f>
        <v>64571</v>
      </c>
      <c r="AN24" s="12">
        <f>SUM(AN6:AN23)</f>
        <v>128241</v>
      </c>
      <c r="AO24" s="60">
        <f t="shared" si="27"/>
        <v>128241</v>
      </c>
      <c r="AP24" s="12">
        <f>SUM(AP6:AP23)</f>
        <v>44956</v>
      </c>
      <c r="AQ24" s="12">
        <f>SUM(AQ6:AQ23)</f>
        <v>79301</v>
      </c>
      <c r="AR24" s="12">
        <f>SUM(AR6:AR23)</f>
        <v>126783</v>
      </c>
      <c r="AS24" s="12">
        <f>SUM(AS6:AS23)</f>
        <v>186084</v>
      </c>
      <c r="AT24" s="60">
        <f t="shared" si="28"/>
        <v>186084</v>
      </c>
      <c r="AU24" s="12">
        <f>SUM(AU6:AU23)</f>
        <v>56781</v>
      </c>
      <c r="AV24" s="12">
        <f>SUM(AV6:AV23)</f>
        <v>107075</v>
      </c>
      <c r="AW24" s="12">
        <f>SUM(AW6:AW23)</f>
        <v>200433</v>
      </c>
      <c r="AX24" s="12">
        <f>SUM(AX6:AX23)</f>
        <v>263482</v>
      </c>
      <c r="AY24" s="60">
        <f>AX24</f>
        <v>263482</v>
      </c>
      <c r="AZ24" s="12">
        <f>SUM(AZ6:AZ23)</f>
        <v>64897</v>
      </c>
      <c r="BA24" s="12">
        <f>SUM(BA6:BA23)</f>
        <v>108304</v>
      </c>
      <c r="BB24" s="12">
        <f>SUM(BB6:BB23)</f>
        <v>195845</v>
      </c>
      <c r="BC24" s="12">
        <f>SUM(BC6:BC23)</f>
        <v>297696</v>
      </c>
      <c r="BD24" s="60">
        <f>BC24</f>
        <v>297696</v>
      </c>
      <c r="BE24" s="12">
        <f>SUM(BE6:BE23)</f>
        <v>50820</v>
      </c>
      <c r="BF24" s="12">
        <f>SUM(BF6:BF23)</f>
        <v>133102</v>
      </c>
      <c r="BG24" s="12">
        <f>SUM(BG6:BG23)</f>
        <v>296850</v>
      </c>
      <c r="BH24" s="12">
        <f>SUM(BH6:BH23)</f>
        <v>405395</v>
      </c>
      <c r="BI24" s="60">
        <f>BH24</f>
        <v>405395</v>
      </c>
      <c r="BJ24" s="12">
        <f>SUM(BJ6:BJ23)</f>
        <v>99653</v>
      </c>
      <c r="BK24" s="12">
        <f>SUM(BK6:BK23)</f>
        <v>208551</v>
      </c>
      <c r="BL24" s="12">
        <f>SUM(BL6:BL23)</f>
        <v>280251</v>
      </c>
      <c r="BM24" s="12">
        <f>SUM(BM6:BM23)</f>
        <v>393301</v>
      </c>
      <c r="BN24" s="60">
        <f>BM24</f>
        <v>393301</v>
      </c>
      <c r="BO24" s="12">
        <f>SUM(BO6:BO23)</f>
        <v>43655</v>
      </c>
      <c r="BP24" s="12">
        <f>SUM(BP6:BP23)</f>
        <v>101779</v>
      </c>
      <c r="BQ24" s="12">
        <f>SUM(BQ6:BQ23)</f>
        <v>193582</v>
      </c>
      <c r="BR24" s="12">
        <f>SUM(BR6:BR23)</f>
        <v>323521</v>
      </c>
      <c r="BS24" s="60">
        <f>BR24</f>
        <v>323521</v>
      </c>
      <c r="BT24" s="12">
        <f>SUM(BT6:BT23)</f>
        <v>56781</v>
      </c>
      <c r="BU24" s="12">
        <f>SUM(BU6:BU23)</f>
        <v>130256</v>
      </c>
      <c r="BV24" s="12">
        <f>SUM(BV6:BV23)</f>
        <v>200017</v>
      </c>
      <c r="BW24" s="12">
        <f>SUM(BW6:BW23)</f>
        <v>285335</v>
      </c>
      <c r="BX24" s="60">
        <f>BW24</f>
        <v>285335</v>
      </c>
      <c r="BY24" s="12">
        <f>SUM(BY6:BY23)</f>
        <v>87543</v>
      </c>
      <c r="BZ24" s="12">
        <f>SUM(BZ6:BZ23)</f>
        <v>203190</v>
      </c>
      <c r="CA24" s="12">
        <f>SUM(CA6:CA23)</f>
        <v>305156</v>
      </c>
      <c r="CB24" s="12">
        <f>SUM(CB6:CB23)</f>
        <v>389700</v>
      </c>
      <c r="CC24" s="60">
        <f t="shared" si="29"/>
        <v>389700</v>
      </c>
      <c r="CD24" s="12">
        <f>SUM(CD6:CD23)</f>
        <v>16423</v>
      </c>
      <c r="CE24" s="12">
        <f>SUM(CE6:CE23)</f>
        <v>95161</v>
      </c>
      <c r="CF24" s="12">
        <f>SUM(CF6:CF23)</f>
        <v>171026</v>
      </c>
      <c r="CG24" s="12">
        <f>SUM(CG6:CG23)</f>
        <v>212649</v>
      </c>
      <c r="CH24" s="60">
        <f t="shared" si="30"/>
        <v>212649</v>
      </c>
      <c r="CI24" s="12">
        <f>SUM(CI6:CI23)</f>
        <v>37280</v>
      </c>
      <c r="CJ24" s="12">
        <f>SUM(CJ6:CJ23)</f>
        <v>103946</v>
      </c>
      <c r="CK24" s="12">
        <f>SUM(CK6:CK23)</f>
        <v>189924</v>
      </c>
      <c r="CL24" s="12">
        <f>SUM(CL6:CL23)</f>
        <v>295986</v>
      </c>
      <c r="CM24" s="60">
        <f t="shared" si="31"/>
        <v>295986</v>
      </c>
      <c r="CN24" s="12">
        <v>54596</v>
      </c>
      <c r="CO24" s="12">
        <f>SUM(CO6:CO23)</f>
        <v>108054</v>
      </c>
      <c r="CP24" s="12"/>
      <c r="CQ24" s="12"/>
      <c r="CR24" s="60">
        <f t="shared" si="32"/>
        <v>0</v>
      </c>
    </row>
    <row r="25" spans="1:96" s="2" customFormat="1" ht="11.15" customHeight="1" x14ac:dyDescent="0.25">
      <c r="A25" s="21"/>
      <c r="B25" s="11"/>
      <c r="C25" s="11"/>
      <c r="D25" s="11"/>
      <c r="E25" s="11"/>
      <c r="F25" s="61"/>
      <c r="G25" s="11"/>
      <c r="H25" s="11"/>
      <c r="I25" s="11"/>
      <c r="J25" s="11"/>
      <c r="K25" s="61"/>
      <c r="L25" s="11"/>
      <c r="M25" s="11"/>
      <c r="N25" s="11"/>
      <c r="O25" s="11"/>
      <c r="P25" s="61"/>
      <c r="Q25" s="11"/>
      <c r="R25" s="11"/>
      <c r="S25" s="11"/>
      <c r="T25" s="11"/>
      <c r="U25" s="61"/>
      <c r="V25" s="11"/>
      <c r="W25" s="11"/>
      <c r="X25" s="11"/>
      <c r="Y25" s="11"/>
      <c r="Z25" s="61"/>
      <c r="AA25" s="11"/>
      <c r="AB25" s="11"/>
      <c r="AC25" s="11"/>
      <c r="AD25" s="11"/>
      <c r="AE25" s="61"/>
      <c r="AF25" s="11"/>
      <c r="AG25" s="11"/>
      <c r="AH25" s="11"/>
      <c r="AI25" s="11"/>
      <c r="AJ25" s="61"/>
      <c r="AK25" s="11"/>
      <c r="AL25" s="11"/>
      <c r="AM25" s="11"/>
      <c r="AN25" s="11"/>
      <c r="AO25" s="61"/>
      <c r="AP25" s="11"/>
      <c r="AQ25" s="11"/>
      <c r="AR25" s="11"/>
      <c r="AS25" s="11"/>
      <c r="AT25" s="61"/>
      <c r="AU25" s="11"/>
      <c r="AV25" s="11"/>
      <c r="AW25" s="11"/>
      <c r="AX25" s="11"/>
      <c r="AY25" s="61"/>
      <c r="AZ25" s="11"/>
      <c r="BA25" s="11"/>
      <c r="BB25" s="11"/>
      <c r="BC25" s="11"/>
      <c r="BD25" s="61"/>
      <c r="BE25" s="11"/>
      <c r="BF25" s="11"/>
      <c r="BG25" s="11"/>
      <c r="BH25" s="11"/>
      <c r="BI25" s="61"/>
      <c r="BJ25" s="11"/>
      <c r="BK25" s="11"/>
      <c r="BL25" s="11"/>
      <c r="BM25" s="11"/>
      <c r="BN25" s="61"/>
      <c r="BO25" s="11"/>
      <c r="BP25" s="11"/>
      <c r="BQ25" s="11"/>
      <c r="BR25" s="11"/>
      <c r="BS25" s="61"/>
      <c r="BT25" s="11"/>
      <c r="BU25" s="11"/>
      <c r="BV25" s="11"/>
      <c r="BW25" s="11"/>
      <c r="BX25" s="61"/>
      <c r="BY25" s="11"/>
      <c r="BZ25" s="11"/>
      <c r="CA25" s="11"/>
      <c r="CB25" s="11"/>
      <c r="CC25" s="61"/>
      <c r="CD25" s="11"/>
      <c r="CE25" s="11"/>
      <c r="CF25" s="11"/>
      <c r="CG25" s="11"/>
      <c r="CH25" s="61"/>
      <c r="CI25" s="11"/>
      <c r="CJ25" s="11"/>
      <c r="CK25" s="11"/>
      <c r="CL25" s="11"/>
      <c r="CM25" s="61"/>
      <c r="CN25" s="11"/>
      <c r="CO25" s="11"/>
      <c r="CP25" s="11"/>
      <c r="CQ25" s="11"/>
      <c r="CR25" s="61"/>
    </row>
    <row r="26" spans="1:96" s="2" customFormat="1" ht="11.15" customHeight="1" x14ac:dyDescent="0.25">
      <c r="A26" s="35" t="s">
        <v>199</v>
      </c>
      <c r="B26" s="4"/>
      <c r="C26" s="4"/>
      <c r="D26" s="4"/>
      <c r="E26" s="4"/>
      <c r="F26" s="69"/>
      <c r="G26" s="4"/>
      <c r="H26" s="4"/>
      <c r="I26" s="5"/>
      <c r="J26" s="5"/>
      <c r="K26" s="69"/>
      <c r="L26" s="4"/>
      <c r="M26" s="4"/>
      <c r="N26" s="5"/>
      <c r="O26" s="5"/>
      <c r="P26" s="69"/>
      <c r="Q26" s="4"/>
      <c r="R26" s="4"/>
      <c r="S26" s="5"/>
      <c r="T26" s="5"/>
      <c r="U26" s="69"/>
      <c r="V26" s="4"/>
      <c r="W26" s="4"/>
      <c r="X26" s="5"/>
      <c r="Y26" s="5"/>
      <c r="Z26" s="69"/>
      <c r="AA26" s="4"/>
      <c r="AB26" s="4"/>
      <c r="AC26" s="5"/>
      <c r="AD26" s="5"/>
      <c r="AE26" s="69"/>
      <c r="AF26" s="4"/>
      <c r="AG26" s="4"/>
      <c r="AH26" s="5"/>
      <c r="AI26" s="5"/>
      <c r="AJ26" s="69"/>
      <c r="AK26" s="4"/>
      <c r="AL26" s="4"/>
      <c r="AM26" s="5"/>
      <c r="AN26" s="5"/>
      <c r="AO26" s="69"/>
      <c r="AP26" s="4"/>
      <c r="AQ26" s="4"/>
      <c r="AR26" s="5"/>
      <c r="AS26" s="5"/>
      <c r="AT26" s="69"/>
      <c r="AU26" s="4"/>
      <c r="AV26" s="5"/>
      <c r="AW26" s="5"/>
      <c r="AX26" s="5"/>
      <c r="AY26" s="69"/>
      <c r="AZ26" s="4"/>
      <c r="BA26" s="5"/>
      <c r="BB26" s="5"/>
      <c r="BC26" s="5"/>
      <c r="BD26" s="69"/>
      <c r="BE26" s="4"/>
      <c r="BF26" s="5"/>
      <c r="BG26" s="5"/>
      <c r="BH26" s="5"/>
      <c r="BI26" s="69"/>
      <c r="BJ26" s="4"/>
      <c r="BK26" s="5"/>
      <c r="BL26" s="5"/>
      <c r="BM26" s="5"/>
      <c r="BN26" s="69"/>
      <c r="BO26" s="4"/>
      <c r="BP26" s="5"/>
      <c r="BQ26" s="5"/>
      <c r="BR26" s="5"/>
      <c r="BS26" s="69"/>
      <c r="BT26" s="4"/>
      <c r="BU26" s="5"/>
      <c r="BV26" s="5"/>
      <c r="BW26" s="5"/>
      <c r="BX26" s="69"/>
      <c r="BY26" s="4"/>
      <c r="BZ26" s="5"/>
      <c r="CA26" s="5"/>
      <c r="CB26" s="5"/>
      <c r="CC26" s="69"/>
      <c r="CD26" s="4"/>
      <c r="CE26" s="5"/>
      <c r="CF26" s="5"/>
      <c r="CG26" s="5"/>
      <c r="CH26" s="69"/>
      <c r="CI26" s="4"/>
      <c r="CJ26" s="4"/>
      <c r="CK26" s="4"/>
      <c r="CL26" s="5"/>
      <c r="CM26" s="69"/>
      <c r="CN26" s="4"/>
      <c r="CO26" s="4"/>
      <c r="CP26" s="4"/>
      <c r="CQ26" s="5"/>
      <c r="CR26" s="69"/>
    </row>
    <row r="27" spans="1:96" ht="11.15" customHeight="1" x14ac:dyDescent="0.2">
      <c r="A27" s="21" t="s">
        <v>232</v>
      </c>
      <c r="B27" s="36">
        <v>-3865</v>
      </c>
      <c r="C27" s="36">
        <v>-9054</v>
      </c>
      <c r="D27" s="36">
        <v>-14518</v>
      </c>
      <c r="E27" s="36">
        <v>-20442</v>
      </c>
      <c r="F27" s="61">
        <f t="shared" ref="F27:F35" si="39">E27</f>
        <v>-20442</v>
      </c>
      <c r="G27" s="36">
        <v>-7262</v>
      </c>
      <c r="H27" s="36">
        <v>-17859</v>
      </c>
      <c r="I27" s="36">
        <v>-26458</v>
      </c>
      <c r="J27" s="36">
        <v>-34341</v>
      </c>
      <c r="K27" s="61">
        <f t="shared" ref="K27:K35" si="40">J27</f>
        <v>-34341</v>
      </c>
      <c r="L27" s="36">
        <v>-12962</v>
      </c>
      <c r="M27" s="36">
        <v>-20325</v>
      </c>
      <c r="N27" s="36">
        <v>-29489</v>
      </c>
      <c r="O27" s="36">
        <v>-37111</v>
      </c>
      <c r="P27" s="61">
        <f t="shared" ref="P27:P35" si="41">O27</f>
        <v>-37111</v>
      </c>
      <c r="Q27" s="36">
        <v>-4686</v>
      </c>
      <c r="R27" s="36">
        <v>-7726</v>
      </c>
      <c r="S27" s="36">
        <v>-9580</v>
      </c>
      <c r="T27" s="36">
        <v>-10498</v>
      </c>
      <c r="U27" s="61">
        <f t="shared" ref="U27:U35" si="42">T27</f>
        <v>-10498</v>
      </c>
      <c r="V27" s="36">
        <v>-4953</v>
      </c>
      <c r="W27" s="36">
        <v>-8701</v>
      </c>
      <c r="X27" s="36">
        <v>-14201</v>
      </c>
      <c r="Y27" s="36">
        <v>-28374</v>
      </c>
      <c r="Z27" s="61">
        <f t="shared" ref="Z27:Z35" si="43">Y27</f>
        <v>-28374</v>
      </c>
      <c r="AA27" s="36">
        <v>-9587</v>
      </c>
      <c r="AB27" s="36">
        <v>-22786</v>
      </c>
      <c r="AC27" s="36">
        <v>-34750</v>
      </c>
      <c r="AD27" s="36">
        <v>-53007</v>
      </c>
      <c r="AE27" s="61">
        <f t="shared" ref="AE27:AE35" si="44">AD27</f>
        <v>-53007</v>
      </c>
      <c r="AF27" s="36">
        <v>-13779</v>
      </c>
      <c r="AG27" s="36">
        <v>-35966</v>
      </c>
      <c r="AH27" s="36">
        <v>-51715</v>
      </c>
      <c r="AI27" s="36">
        <v>-68184</v>
      </c>
      <c r="AJ27" s="61">
        <f t="shared" ref="AJ27:AJ35" si="45">AI27</f>
        <v>-68184</v>
      </c>
      <c r="AK27" s="36">
        <v>-17746</v>
      </c>
      <c r="AL27" s="36">
        <v>-34263</v>
      </c>
      <c r="AM27" s="36">
        <v>-48333</v>
      </c>
      <c r="AN27" s="36">
        <v>-70919</v>
      </c>
      <c r="AO27" s="61">
        <f t="shared" ref="AO27:AO35" si="46">AN27</f>
        <v>-70919</v>
      </c>
      <c r="AP27" s="36">
        <v>-11456</v>
      </c>
      <c r="AQ27" s="36">
        <v>-45781</v>
      </c>
      <c r="AR27" s="36">
        <v>-72723</v>
      </c>
      <c r="AS27" s="36">
        <v>-88601</v>
      </c>
      <c r="AT27" s="61">
        <f t="shared" ref="AT27:AT35" si="47">AS27</f>
        <v>-88601</v>
      </c>
      <c r="AU27" s="36">
        <v>-14027</v>
      </c>
      <c r="AV27" s="36">
        <v>-32606</v>
      </c>
      <c r="AW27" s="36">
        <v>-50759</v>
      </c>
      <c r="AX27" s="36">
        <v>-70119</v>
      </c>
      <c r="AY27" s="61">
        <f t="shared" ref="AY27:AY35" si="48">AX27</f>
        <v>-70119</v>
      </c>
      <c r="AZ27" s="36">
        <v>-24960</v>
      </c>
      <c r="BA27" s="36">
        <v>-70863</v>
      </c>
      <c r="BB27" s="36">
        <v>-101668</v>
      </c>
      <c r="BC27" s="36">
        <v>-127042</v>
      </c>
      <c r="BD27" s="61">
        <f t="shared" ref="BD27:BD35" si="49">BC27</f>
        <v>-127042</v>
      </c>
      <c r="BE27" s="36">
        <v>-21875</v>
      </c>
      <c r="BF27" s="36">
        <v>-43632</v>
      </c>
      <c r="BG27" s="36">
        <v>-99221</v>
      </c>
      <c r="BH27" s="36">
        <v>-126535</v>
      </c>
      <c r="BI27" s="61">
        <f t="shared" ref="BI27:BI35" si="50">BH27</f>
        <v>-126535</v>
      </c>
      <c r="BJ27" s="36">
        <v>-39113</v>
      </c>
      <c r="BK27" s="36">
        <v>-96516</v>
      </c>
      <c r="BL27" s="36">
        <v>-133355</v>
      </c>
      <c r="BM27" s="36">
        <v>-160343</v>
      </c>
      <c r="BN27" s="61">
        <f t="shared" ref="BN27:BN35" si="51">BM27</f>
        <v>-160343</v>
      </c>
      <c r="BO27" s="36">
        <v>-32988</v>
      </c>
      <c r="BP27" s="36">
        <v>-86492</v>
      </c>
      <c r="BQ27" s="36">
        <v>-107540</v>
      </c>
      <c r="BR27" s="36">
        <v>-133536</v>
      </c>
      <c r="BS27" s="61">
        <f t="shared" ref="BS27:BS35" si="52">BR27</f>
        <v>-133536</v>
      </c>
      <c r="BT27" s="36">
        <v>-17801</v>
      </c>
      <c r="BU27" s="36">
        <v>-37370</v>
      </c>
      <c r="BV27" s="36">
        <v>-61871</v>
      </c>
      <c r="BW27" s="36">
        <v>-87696</v>
      </c>
      <c r="BX27" s="61">
        <f t="shared" ref="BX27:BX35" si="53">BW27</f>
        <v>-87696</v>
      </c>
      <c r="BY27" s="36">
        <v>-27421</v>
      </c>
      <c r="BZ27" s="36">
        <v>-54344</v>
      </c>
      <c r="CA27" s="36">
        <v>-93857</v>
      </c>
      <c r="CB27" s="36">
        <v>-123108</v>
      </c>
      <c r="CC27" s="61">
        <f t="shared" ref="CC27:CC35" si="54">CB27</f>
        <v>-123108</v>
      </c>
      <c r="CD27" s="36">
        <v>-25177</v>
      </c>
      <c r="CE27" s="36">
        <v>-59903</v>
      </c>
      <c r="CF27" s="36">
        <v>-84552</v>
      </c>
      <c r="CG27" s="36">
        <v>-110141</v>
      </c>
      <c r="CH27" s="61">
        <f t="shared" ref="CH27:CH35" si="55">CG27</f>
        <v>-110141</v>
      </c>
      <c r="CI27" s="36">
        <v>-33404</v>
      </c>
      <c r="CJ27" s="36">
        <v>-59139</v>
      </c>
      <c r="CK27" s="36">
        <v>-85256</v>
      </c>
      <c r="CL27" s="36">
        <v>-110483</v>
      </c>
      <c r="CM27" s="61">
        <f t="shared" ref="CM27:CM35" si="56">CL27</f>
        <v>-110483</v>
      </c>
      <c r="CN27" s="36">
        <v>-28052</v>
      </c>
      <c r="CO27" s="36">
        <v>-52270</v>
      </c>
      <c r="CP27" s="36"/>
      <c r="CQ27" s="36"/>
      <c r="CR27" s="61">
        <f t="shared" ref="CR27:CR35" si="57">CQ27</f>
        <v>0</v>
      </c>
    </row>
    <row r="28" spans="1:96" ht="11.15" customHeight="1" x14ac:dyDescent="0.2">
      <c r="A28" s="21" t="s">
        <v>77</v>
      </c>
      <c r="B28" s="36">
        <v>0</v>
      </c>
      <c r="C28" s="36">
        <v>0</v>
      </c>
      <c r="D28" s="36">
        <v>0</v>
      </c>
      <c r="E28" s="36">
        <v>0</v>
      </c>
      <c r="F28" s="61">
        <f t="shared" si="39"/>
        <v>0</v>
      </c>
      <c r="G28" s="36">
        <v>0</v>
      </c>
      <c r="H28" s="36">
        <v>0</v>
      </c>
      <c r="I28" s="36">
        <v>0</v>
      </c>
      <c r="J28" s="36">
        <v>0</v>
      </c>
      <c r="K28" s="61">
        <f t="shared" si="40"/>
        <v>0</v>
      </c>
      <c r="L28" s="36">
        <v>0</v>
      </c>
      <c r="M28" s="36">
        <v>0</v>
      </c>
      <c r="N28" s="36">
        <v>0</v>
      </c>
      <c r="O28" s="36">
        <v>0</v>
      </c>
      <c r="P28" s="61">
        <f t="shared" si="41"/>
        <v>0</v>
      </c>
      <c r="Q28" s="36">
        <v>0</v>
      </c>
      <c r="R28" s="36">
        <v>0</v>
      </c>
      <c r="S28" s="36">
        <v>0</v>
      </c>
      <c r="T28" s="36">
        <v>0</v>
      </c>
      <c r="U28" s="61">
        <f t="shared" si="42"/>
        <v>0</v>
      </c>
      <c r="V28" s="36">
        <v>0</v>
      </c>
      <c r="W28" s="36">
        <v>0</v>
      </c>
      <c r="X28" s="36">
        <v>0</v>
      </c>
      <c r="Y28" s="36">
        <v>0</v>
      </c>
      <c r="Z28" s="61">
        <f t="shared" si="43"/>
        <v>0</v>
      </c>
      <c r="AA28" s="36">
        <v>0</v>
      </c>
      <c r="AB28" s="36">
        <v>0</v>
      </c>
      <c r="AC28" s="36">
        <v>0</v>
      </c>
      <c r="AD28" s="36">
        <v>0</v>
      </c>
      <c r="AE28" s="61">
        <f t="shared" si="44"/>
        <v>0</v>
      </c>
      <c r="AF28" s="36">
        <v>0</v>
      </c>
      <c r="AG28" s="36">
        <v>0</v>
      </c>
      <c r="AH28" s="36">
        <v>0</v>
      </c>
      <c r="AI28" s="36">
        <v>0</v>
      </c>
      <c r="AJ28" s="61">
        <f t="shared" si="45"/>
        <v>0</v>
      </c>
      <c r="AK28" s="36">
        <v>0</v>
      </c>
      <c r="AL28" s="36">
        <v>0</v>
      </c>
      <c r="AM28" s="36">
        <v>0</v>
      </c>
      <c r="AN28" s="36">
        <v>0</v>
      </c>
      <c r="AO28" s="61">
        <f t="shared" si="46"/>
        <v>0</v>
      </c>
      <c r="AP28" s="36">
        <v>0</v>
      </c>
      <c r="AQ28" s="36">
        <v>0</v>
      </c>
      <c r="AR28" s="36">
        <v>-2000</v>
      </c>
      <c r="AS28" s="36">
        <v>-2000</v>
      </c>
      <c r="AT28" s="61">
        <f t="shared" si="47"/>
        <v>-2000</v>
      </c>
      <c r="AU28" s="36">
        <v>0</v>
      </c>
      <c r="AV28" s="36">
        <v>0</v>
      </c>
      <c r="AW28" s="36">
        <v>0</v>
      </c>
      <c r="AX28" s="36">
        <v>0</v>
      </c>
      <c r="AY28" s="61">
        <f t="shared" si="48"/>
        <v>0</v>
      </c>
      <c r="AZ28" s="36">
        <v>0</v>
      </c>
      <c r="BA28" s="36">
        <v>0</v>
      </c>
      <c r="BB28" s="36">
        <v>0</v>
      </c>
      <c r="BC28" s="36">
        <v>0</v>
      </c>
      <c r="BD28" s="61">
        <f t="shared" si="49"/>
        <v>0</v>
      </c>
      <c r="BE28" s="36">
        <v>0</v>
      </c>
      <c r="BF28" s="36">
        <v>0</v>
      </c>
      <c r="BG28" s="36">
        <v>0</v>
      </c>
      <c r="BH28" s="36">
        <v>0</v>
      </c>
      <c r="BI28" s="61">
        <f t="shared" si="50"/>
        <v>0</v>
      </c>
      <c r="BJ28" s="36">
        <v>0</v>
      </c>
      <c r="BK28" s="36">
        <v>0</v>
      </c>
      <c r="BL28" s="36">
        <v>0</v>
      </c>
      <c r="BM28" s="36">
        <v>0</v>
      </c>
      <c r="BN28" s="61">
        <f t="shared" si="51"/>
        <v>0</v>
      </c>
      <c r="BO28" s="36">
        <v>0</v>
      </c>
      <c r="BP28" s="36">
        <v>0</v>
      </c>
      <c r="BQ28" s="36">
        <v>0</v>
      </c>
      <c r="BR28" s="36">
        <v>0</v>
      </c>
      <c r="BS28" s="61">
        <f t="shared" si="52"/>
        <v>0</v>
      </c>
      <c r="BT28" s="36">
        <v>0</v>
      </c>
      <c r="BU28" s="36">
        <v>0</v>
      </c>
      <c r="BV28" s="36">
        <v>0</v>
      </c>
      <c r="BW28" s="36">
        <v>0</v>
      </c>
      <c r="BX28" s="61">
        <f t="shared" si="53"/>
        <v>0</v>
      </c>
      <c r="BY28" s="36">
        <v>0</v>
      </c>
      <c r="BZ28" s="36">
        <v>0</v>
      </c>
      <c r="CA28" s="36">
        <v>0</v>
      </c>
      <c r="CB28" s="36">
        <v>0</v>
      </c>
      <c r="CC28" s="61">
        <f t="shared" si="54"/>
        <v>0</v>
      </c>
      <c r="CD28" s="36">
        <v>0</v>
      </c>
      <c r="CE28" s="36">
        <v>0</v>
      </c>
      <c r="CF28" s="36">
        <v>0</v>
      </c>
      <c r="CG28" s="36">
        <v>0</v>
      </c>
      <c r="CH28" s="61">
        <f t="shared" si="55"/>
        <v>0</v>
      </c>
      <c r="CI28" s="36">
        <v>0</v>
      </c>
      <c r="CJ28" s="36">
        <v>0</v>
      </c>
      <c r="CK28" s="36">
        <v>0</v>
      </c>
      <c r="CL28" s="36">
        <v>0</v>
      </c>
      <c r="CM28" s="61">
        <f t="shared" si="56"/>
        <v>0</v>
      </c>
      <c r="CN28" s="36">
        <v>0</v>
      </c>
      <c r="CO28" s="36">
        <v>0</v>
      </c>
      <c r="CP28" s="36"/>
      <c r="CQ28" s="36"/>
      <c r="CR28" s="61">
        <f t="shared" si="57"/>
        <v>0</v>
      </c>
    </row>
    <row r="29" spans="1:96" ht="11.15" customHeight="1" x14ac:dyDescent="0.2">
      <c r="A29" s="21" t="s">
        <v>66</v>
      </c>
      <c r="B29" s="36">
        <v>0</v>
      </c>
      <c r="C29" s="36">
        <v>20</v>
      </c>
      <c r="D29" s="36">
        <v>123</v>
      </c>
      <c r="E29" s="36">
        <v>90</v>
      </c>
      <c r="F29" s="61">
        <f t="shared" si="39"/>
        <v>90</v>
      </c>
      <c r="G29" s="36">
        <v>57</v>
      </c>
      <c r="H29" s="36">
        <v>78</v>
      </c>
      <c r="I29" s="36">
        <v>78</v>
      </c>
      <c r="J29" s="36">
        <v>78</v>
      </c>
      <c r="K29" s="61">
        <f t="shared" si="40"/>
        <v>78</v>
      </c>
      <c r="L29" s="36">
        <v>0</v>
      </c>
      <c r="M29" s="36">
        <v>0</v>
      </c>
      <c r="N29" s="36">
        <v>0</v>
      </c>
      <c r="O29" s="36">
        <v>0</v>
      </c>
      <c r="P29" s="61">
        <f t="shared" si="41"/>
        <v>0</v>
      </c>
      <c r="Q29" s="36">
        <v>0</v>
      </c>
      <c r="R29" s="36">
        <v>0</v>
      </c>
      <c r="S29" s="36">
        <v>0</v>
      </c>
      <c r="T29" s="36">
        <v>0</v>
      </c>
      <c r="U29" s="61">
        <f t="shared" si="42"/>
        <v>0</v>
      </c>
      <c r="V29" s="36">
        <v>0</v>
      </c>
      <c r="W29" s="36">
        <v>0</v>
      </c>
      <c r="X29" s="36">
        <v>0</v>
      </c>
      <c r="Y29" s="36">
        <v>0</v>
      </c>
      <c r="Z29" s="61">
        <f t="shared" si="43"/>
        <v>0</v>
      </c>
      <c r="AA29" s="36">
        <v>0</v>
      </c>
      <c r="AB29" s="36">
        <v>0</v>
      </c>
      <c r="AC29" s="36">
        <v>0</v>
      </c>
      <c r="AD29" s="36">
        <v>0</v>
      </c>
      <c r="AE29" s="61">
        <f t="shared" si="44"/>
        <v>0</v>
      </c>
      <c r="AF29" s="36">
        <v>0</v>
      </c>
      <c r="AG29" s="36">
        <v>0</v>
      </c>
      <c r="AH29" s="36">
        <v>0</v>
      </c>
      <c r="AI29" s="36">
        <v>0</v>
      </c>
      <c r="AJ29" s="61">
        <f t="shared" si="45"/>
        <v>0</v>
      </c>
      <c r="AK29" s="36">
        <v>89</v>
      </c>
      <c r="AL29" s="36">
        <v>166</v>
      </c>
      <c r="AM29" s="36">
        <v>202</v>
      </c>
      <c r="AN29" s="36">
        <v>236</v>
      </c>
      <c r="AO29" s="61">
        <f t="shared" si="46"/>
        <v>236</v>
      </c>
      <c r="AP29" s="36">
        <v>119</v>
      </c>
      <c r="AQ29" s="36">
        <v>254</v>
      </c>
      <c r="AR29" s="36">
        <v>418</v>
      </c>
      <c r="AS29" s="36">
        <v>434</v>
      </c>
      <c r="AT29" s="61">
        <f t="shared" si="47"/>
        <v>434</v>
      </c>
      <c r="AU29" s="36">
        <v>131</v>
      </c>
      <c r="AV29" s="36">
        <v>139</v>
      </c>
      <c r="AW29" s="36">
        <v>231</v>
      </c>
      <c r="AX29" s="36">
        <v>164</v>
      </c>
      <c r="AY29" s="61">
        <f t="shared" si="48"/>
        <v>164</v>
      </c>
      <c r="AZ29" s="36">
        <v>129</v>
      </c>
      <c r="BA29" s="36">
        <v>184</v>
      </c>
      <c r="BB29" s="36">
        <v>1841</v>
      </c>
      <c r="BC29" s="36">
        <v>658</v>
      </c>
      <c r="BD29" s="61">
        <f t="shared" si="49"/>
        <v>658</v>
      </c>
      <c r="BE29" s="36">
        <v>99</v>
      </c>
      <c r="BF29" s="36">
        <v>15284</v>
      </c>
      <c r="BG29" s="36">
        <v>15437</v>
      </c>
      <c r="BH29" s="36">
        <v>15882</v>
      </c>
      <c r="BI29" s="61">
        <f t="shared" si="50"/>
        <v>15882</v>
      </c>
      <c r="BJ29" s="36">
        <v>210</v>
      </c>
      <c r="BK29" s="36">
        <v>641</v>
      </c>
      <c r="BL29" s="36">
        <v>755</v>
      </c>
      <c r="BM29" s="36">
        <v>1026</v>
      </c>
      <c r="BN29" s="61">
        <f t="shared" si="51"/>
        <v>1026</v>
      </c>
      <c r="BO29" s="36">
        <v>181</v>
      </c>
      <c r="BP29" s="36">
        <v>288</v>
      </c>
      <c r="BQ29" s="36">
        <v>348</v>
      </c>
      <c r="BR29" s="36">
        <v>661</v>
      </c>
      <c r="BS29" s="61">
        <f t="shared" si="52"/>
        <v>661</v>
      </c>
      <c r="BT29" s="36">
        <v>139</v>
      </c>
      <c r="BU29" s="36">
        <v>460</v>
      </c>
      <c r="BV29" s="36">
        <v>689</v>
      </c>
      <c r="BW29" s="36">
        <v>889</v>
      </c>
      <c r="BX29" s="61">
        <f t="shared" si="53"/>
        <v>889</v>
      </c>
      <c r="BY29" s="36">
        <v>130</v>
      </c>
      <c r="BZ29" s="36">
        <v>258</v>
      </c>
      <c r="CA29" s="36">
        <v>859</v>
      </c>
      <c r="CB29" s="36">
        <v>1409</v>
      </c>
      <c r="CC29" s="61">
        <f t="shared" si="54"/>
        <v>1409</v>
      </c>
      <c r="CD29" s="36">
        <v>428</v>
      </c>
      <c r="CE29" s="36">
        <v>645</v>
      </c>
      <c r="CF29" s="36">
        <v>837</v>
      </c>
      <c r="CG29" s="36">
        <v>26862</v>
      </c>
      <c r="CH29" s="61">
        <f>CG29</f>
        <v>26862</v>
      </c>
      <c r="CI29" s="36">
        <v>1600</v>
      </c>
      <c r="CJ29" s="36">
        <v>1740</v>
      </c>
      <c r="CK29" s="36">
        <v>30425</v>
      </c>
      <c r="CL29" s="36">
        <v>31241</v>
      </c>
      <c r="CM29" s="61">
        <f>CL29</f>
        <v>31241</v>
      </c>
      <c r="CN29" s="36">
        <v>25262</v>
      </c>
      <c r="CO29" s="36">
        <v>28274</v>
      </c>
      <c r="CP29" s="36"/>
      <c r="CQ29" s="36"/>
      <c r="CR29" s="61">
        <f>CQ29</f>
        <v>0</v>
      </c>
    </row>
    <row r="30" spans="1:96" ht="11.15" customHeight="1" x14ac:dyDescent="0.2">
      <c r="A30" s="21" t="s">
        <v>67</v>
      </c>
      <c r="B30" s="36">
        <v>0</v>
      </c>
      <c r="C30" s="36">
        <v>0</v>
      </c>
      <c r="D30" s="36">
        <v>0</v>
      </c>
      <c r="E30" s="36">
        <v>0</v>
      </c>
      <c r="F30" s="61">
        <f t="shared" si="39"/>
        <v>0</v>
      </c>
      <c r="G30" s="36">
        <v>0</v>
      </c>
      <c r="H30" s="36">
        <v>0</v>
      </c>
      <c r="I30" s="36">
        <v>0</v>
      </c>
      <c r="J30" s="36">
        <v>-6950</v>
      </c>
      <c r="K30" s="61">
        <f t="shared" si="40"/>
        <v>-6950</v>
      </c>
      <c r="L30" s="36">
        <v>0</v>
      </c>
      <c r="M30" s="36">
        <v>0</v>
      </c>
      <c r="N30" s="36">
        <v>0</v>
      </c>
      <c r="O30" s="36">
        <v>0</v>
      </c>
      <c r="P30" s="61">
        <f t="shared" si="41"/>
        <v>0</v>
      </c>
      <c r="Q30" s="36">
        <v>0</v>
      </c>
      <c r="R30" s="36">
        <v>0</v>
      </c>
      <c r="S30" s="36">
        <v>0</v>
      </c>
      <c r="T30" s="36">
        <v>0</v>
      </c>
      <c r="U30" s="61">
        <f t="shared" si="42"/>
        <v>0</v>
      </c>
      <c r="V30" s="36">
        <v>0</v>
      </c>
      <c r="W30" s="36">
        <v>0</v>
      </c>
      <c r="X30" s="36">
        <v>0</v>
      </c>
      <c r="Y30" s="36">
        <v>0</v>
      </c>
      <c r="Z30" s="61">
        <f t="shared" si="43"/>
        <v>0</v>
      </c>
      <c r="AA30" s="36">
        <v>0</v>
      </c>
      <c r="AB30" s="36">
        <v>0</v>
      </c>
      <c r="AC30" s="36">
        <v>0</v>
      </c>
      <c r="AD30" s="36">
        <v>0</v>
      </c>
      <c r="AE30" s="61">
        <f t="shared" si="44"/>
        <v>0</v>
      </c>
      <c r="AF30" s="36">
        <v>0</v>
      </c>
      <c r="AG30" s="36">
        <v>0</v>
      </c>
      <c r="AH30" s="36">
        <v>0</v>
      </c>
      <c r="AI30" s="36">
        <v>0</v>
      </c>
      <c r="AJ30" s="61">
        <f t="shared" si="45"/>
        <v>0</v>
      </c>
      <c r="AK30" s="36">
        <v>0</v>
      </c>
      <c r="AL30" s="36">
        <v>0</v>
      </c>
      <c r="AM30" s="36">
        <v>0</v>
      </c>
      <c r="AN30" s="36">
        <v>0</v>
      </c>
      <c r="AO30" s="61">
        <f t="shared" si="46"/>
        <v>0</v>
      </c>
      <c r="AP30" s="36">
        <v>0</v>
      </c>
      <c r="AQ30" s="36">
        <v>0</v>
      </c>
      <c r="AR30" s="36">
        <v>0</v>
      </c>
      <c r="AS30" s="36">
        <v>0</v>
      </c>
      <c r="AT30" s="61">
        <f t="shared" si="47"/>
        <v>0</v>
      </c>
      <c r="AU30" s="36">
        <v>0</v>
      </c>
      <c r="AV30" s="36">
        <v>0</v>
      </c>
      <c r="AW30" s="36">
        <v>0</v>
      </c>
      <c r="AX30" s="36">
        <v>-106747</v>
      </c>
      <c r="AY30" s="61">
        <f t="shared" si="48"/>
        <v>-106747</v>
      </c>
      <c r="AZ30" s="36">
        <v>-29899</v>
      </c>
      <c r="BA30" s="36">
        <v>-62211</v>
      </c>
      <c r="BB30" s="36">
        <v>-179374</v>
      </c>
      <c r="BC30" s="36">
        <v>-299508</v>
      </c>
      <c r="BD30" s="61">
        <f t="shared" si="49"/>
        <v>-299508</v>
      </c>
      <c r="BE30" s="36">
        <v>-28173</v>
      </c>
      <c r="BF30" s="36">
        <v>-71244</v>
      </c>
      <c r="BG30" s="36">
        <v>-146585</v>
      </c>
      <c r="BH30" s="36">
        <v>-211832</v>
      </c>
      <c r="BI30" s="61">
        <f t="shared" si="50"/>
        <v>-211832</v>
      </c>
      <c r="BJ30" s="36">
        <v>-70777</v>
      </c>
      <c r="BK30" s="36">
        <v>-289830</v>
      </c>
      <c r="BL30" s="36">
        <v>-566498</v>
      </c>
      <c r="BM30" s="36">
        <v>-765310</v>
      </c>
      <c r="BN30" s="61">
        <f t="shared" si="51"/>
        <v>-765310</v>
      </c>
      <c r="BO30" s="36">
        <v>-178101</v>
      </c>
      <c r="BP30" s="36">
        <v>-339828</v>
      </c>
      <c r="BQ30" s="36">
        <v>-557674</v>
      </c>
      <c r="BR30" s="36">
        <v>768078</v>
      </c>
      <c r="BS30" s="61">
        <f t="shared" si="52"/>
        <v>768078</v>
      </c>
      <c r="BT30" s="36">
        <v>-308195</v>
      </c>
      <c r="BU30" s="36">
        <v>-421321</v>
      </c>
      <c r="BV30" s="36">
        <v>-732729</v>
      </c>
      <c r="BW30" s="36">
        <v>-1111555</v>
      </c>
      <c r="BX30" s="61">
        <f t="shared" si="53"/>
        <v>-1111555</v>
      </c>
      <c r="BY30" s="36">
        <v>-513564</v>
      </c>
      <c r="BZ30" s="36">
        <v>-1014033</v>
      </c>
      <c r="CA30" s="36">
        <v>-1437193</v>
      </c>
      <c r="CB30" s="36">
        <v>-1940605</v>
      </c>
      <c r="CC30" s="61">
        <f t="shared" si="54"/>
        <v>-1940605</v>
      </c>
      <c r="CD30" s="36">
        <v>-475435</v>
      </c>
      <c r="CE30" s="36">
        <v>-583828</v>
      </c>
      <c r="CF30" s="36">
        <v>-914598</v>
      </c>
      <c r="CG30" s="36">
        <v>-1117022</v>
      </c>
      <c r="CH30" s="61">
        <f t="shared" si="55"/>
        <v>-1117022</v>
      </c>
      <c r="CI30" s="36">
        <v>-343820</v>
      </c>
      <c r="CJ30" s="36">
        <v>-583347</v>
      </c>
      <c r="CK30" s="36">
        <v>-898455</v>
      </c>
      <c r="CL30" s="36">
        <v>-1232863</v>
      </c>
      <c r="CM30" s="61">
        <f>CL30</f>
        <v>-1232863</v>
      </c>
      <c r="CN30" s="36">
        <v>-226521</v>
      </c>
      <c r="CO30" s="36">
        <v>-301541</v>
      </c>
      <c r="CP30" s="36"/>
      <c r="CQ30" s="36"/>
      <c r="CR30" s="61">
        <f t="shared" si="57"/>
        <v>0</v>
      </c>
    </row>
    <row r="31" spans="1:96" ht="11.15" customHeight="1" x14ac:dyDescent="0.2">
      <c r="A31" s="21" t="s">
        <v>68</v>
      </c>
      <c r="B31" s="36">
        <v>0</v>
      </c>
      <c r="C31" s="36">
        <v>0</v>
      </c>
      <c r="D31" s="36">
        <v>0</v>
      </c>
      <c r="E31" s="36">
        <v>0</v>
      </c>
      <c r="F31" s="61">
        <f t="shared" si="39"/>
        <v>0</v>
      </c>
      <c r="G31" s="36">
        <v>0</v>
      </c>
      <c r="H31" s="36">
        <v>0</v>
      </c>
      <c r="I31" s="36">
        <v>0</v>
      </c>
      <c r="J31" s="36">
        <v>0</v>
      </c>
      <c r="K31" s="61">
        <f t="shared" si="40"/>
        <v>0</v>
      </c>
      <c r="L31" s="36">
        <v>4450</v>
      </c>
      <c r="M31" s="36">
        <v>5450</v>
      </c>
      <c r="N31" s="36">
        <v>5450</v>
      </c>
      <c r="O31" s="36">
        <v>5450</v>
      </c>
      <c r="P31" s="61">
        <f t="shared" si="41"/>
        <v>5450</v>
      </c>
      <c r="Q31" s="36">
        <v>0</v>
      </c>
      <c r="R31" s="36">
        <v>0</v>
      </c>
      <c r="S31" s="36">
        <v>0</v>
      </c>
      <c r="T31" s="36">
        <v>0</v>
      </c>
      <c r="U31" s="61">
        <f t="shared" si="42"/>
        <v>0</v>
      </c>
      <c r="V31" s="36">
        <v>0</v>
      </c>
      <c r="W31" s="36">
        <v>0</v>
      </c>
      <c r="X31" s="36">
        <v>0</v>
      </c>
      <c r="Y31" s="36">
        <v>0</v>
      </c>
      <c r="Z31" s="61">
        <f t="shared" si="43"/>
        <v>0</v>
      </c>
      <c r="AA31" s="36">
        <v>0</v>
      </c>
      <c r="AB31" s="36">
        <v>0</v>
      </c>
      <c r="AC31" s="36">
        <v>0</v>
      </c>
      <c r="AD31" s="36">
        <v>-25451</v>
      </c>
      <c r="AE31" s="61">
        <f t="shared" si="44"/>
        <v>-25451</v>
      </c>
      <c r="AF31" s="36">
        <v>7001</v>
      </c>
      <c r="AG31" s="36">
        <v>15687</v>
      </c>
      <c r="AH31" s="36">
        <v>25452</v>
      </c>
      <c r="AI31" s="36">
        <v>25451</v>
      </c>
      <c r="AJ31" s="61">
        <f t="shared" si="45"/>
        <v>25451</v>
      </c>
      <c r="AK31" s="36">
        <v>0</v>
      </c>
      <c r="AL31" s="36">
        <v>0</v>
      </c>
      <c r="AM31" s="36">
        <v>0</v>
      </c>
      <c r="AN31" s="36">
        <v>495</v>
      </c>
      <c r="AO31" s="61">
        <f t="shared" si="46"/>
        <v>495</v>
      </c>
      <c r="AP31" s="36">
        <v>0</v>
      </c>
      <c r="AQ31" s="36">
        <v>0</v>
      </c>
      <c r="AR31" s="36">
        <v>0</v>
      </c>
      <c r="AS31" s="36">
        <v>0</v>
      </c>
      <c r="AT31" s="61">
        <f t="shared" si="47"/>
        <v>0</v>
      </c>
      <c r="AU31" s="36">
        <v>0</v>
      </c>
      <c r="AV31" s="36">
        <v>0</v>
      </c>
      <c r="AW31" s="36">
        <v>0</v>
      </c>
      <c r="AX31" s="36">
        <v>0</v>
      </c>
      <c r="AY31" s="61">
        <f t="shared" si="48"/>
        <v>0</v>
      </c>
      <c r="AZ31" s="36">
        <v>10000</v>
      </c>
      <c r="BA31" s="36">
        <v>41720</v>
      </c>
      <c r="BB31" s="36">
        <v>158808</v>
      </c>
      <c r="BC31" s="36">
        <v>198808</v>
      </c>
      <c r="BD31" s="61">
        <f t="shared" si="49"/>
        <v>198808</v>
      </c>
      <c r="BE31" s="36">
        <v>70370</v>
      </c>
      <c r="BF31" s="36">
        <v>156171</v>
      </c>
      <c r="BG31" s="36">
        <v>188143</v>
      </c>
      <c r="BH31" s="36">
        <v>212515</v>
      </c>
      <c r="BI31" s="61">
        <f t="shared" si="50"/>
        <v>212515</v>
      </c>
      <c r="BJ31" s="36">
        <v>70161</v>
      </c>
      <c r="BK31" s="36">
        <v>161618</v>
      </c>
      <c r="BL31" s="36">
        <v>286346</v>
      </c>
      <c r="BM31" s="36">
        <v>470328</v>
      </c>
      <c r="BN31" s="61">
        <f t="shared" si="51"/>
        <v>470328</v>
      </c>
      <c r="BO31" s="36">
        <v>202856</v>
      </c>
      <c r="BP31" s="36">
        <v>334680</v>
      </c>
      <c r="BQ31" s="36">
        <v>568501</v>
      </c>
      <c r="BR31" s="36">
        <v>-760300</v>
      </c>
      <c r="BS31" s="61">
        <f t="shared" si="52"/>
        <v>-760300</v>
      </c>
      <c r="BT31" s="36">
        <v>186024</v>
      </c>
      <c r="BU31" s="36">
        <v>422912</v>
      </c>
      <c r="BV31" s="36">
        <v>697816</v>
      </c>
      <c r="BW31" s="36">
        <v>1099224</v>
      </c>
      <c r="BX31" s="61">
        <f t="shared" si="53"/>
        <v>1099224</v>
      </c>
      <c r="BY31" s="36">
        <v>480163</v>
      </c>
      <c r="BZ31" s="36">
        <v>785023</v>
      </c>
      <c r="CA31" s="36">
        <v>1226445</v>
      </c>
      <c r="CB31" s="36">
        <v>1647537</v>
      </c>
      <c r="CC31" s="61">
        <f t="shared" si="54"/>
        <v>1647537</v>
      </c>
      <c r="CD31" s="36">
        <v>505818</v>
      </c>
      <c r="CE31" s="36">
        <v>925657</v>
      </c>
      <c r="CF31" s="36">
        <v>1355883</v>
      </c>
      <c r="CG31" s="36">
        <v>1446355</v>
      </c>
      <c r="CH31" s="61">
        <f t="shared" si="55"/>
        <v>1446355</v>
      </c>
      <c r="CI31" s="36">
        <v>279499</v>
      </c>
      <c r="CJ31" s="36">
        <v>549879</v>
      </c>
      <c r="CK31" s="36">
        <v>789844</v>
      </c>
      <c r="CL31" s="36">
        <v>1073993</v>
      </c>
      <c r="CM31" s="61">
        <f t="shared" ref="CM31:CM32" si="58">CL31</f>
        <v>1073993</v>
      </c>
      <c r="CN31" s="36">
        <v>252890</v>
      </c>
      <c r="CO31" s="36">
        <v>633993</v>
      </c>
      <c r="CP31" s="36"/>
      <c r="CQ31" s="36"/>
      <c r="CR31" s="61">
        <f t="shared" si="57"/>
        <v>0</v>
      </c>
    </row>
    <row r="32" spans="1:96" ht="11.15" customHeight="1" x14ac:dyDescent="0.2">
      <c r="A32" s="21" t="s">
        <v>69</v>
      </c>
      <c r="B32" s="36">
        <v>0</v>
      </c>
      <c r="C32" s="36">
        <v>0</v>
      </c>
      <c r="D32" s="36">
        <v>0</v>
      </c>
      <c r="E32" s="36">
        <v>0</v>
      </c>
      <c r="F32" s="61">
        <f t="shared" si="39"/>
        <v>0</v>
      </c>
      <c r="G32" s="36">
        <v>0</v>
      </c>
      <c r="H32" s="36">
        <v>0</v>
      </c>
      <c r="I32" s="36">
        <v>0</v>
      </c>
      <c r="J32" s="36">
        <v>0</v>
      </c>
      <c r="K32" s="61">
        <f t="shared" si="40"/>
        <v>0</v>
      </c>
      <c r="L32" s="36">
        <v>0</v>
      </c>
      <c r="M32" s="36">
        <v>0</v>
      </c>
      <c r="N32" s="36">
        <v>0</v>
      </c>
      <c r="O32" s="36">
        <v>0</v>
      </c>
      <c r="P32" s="61">
        <f t="shared" si="41"/>
        <v>0</v>
      </c>
      <c r="Q32" s="36">
        <v>0</v>
      </c>
      <c r="R32" s="36">
        <v>0</v>
      </c>
      <c r="S32" s="36">
        <v>0</v>
      </c>
      <c r="T32" s="36">
        <v>0</v>
      </c>
      <c r="U32" s="61">
        <f t="shared" si="42"/>
        <v>0</v>
      </c>
      <c r="V32" s="36">
        <v>-748</v>
      </c>
      <c r="W32" s="36">
        <v>-4108</v>
      </c>
      <c r="X32" s="36">
        <v>-4108</v>
      </c>
      <c r="Y32" s="36">
        <v>-4108</v>
      </c>
      <c r="Z32" s="61">
        <f t="shared" si="43"/>
        <v>-4108</v>
      </c>
      <c r="AA32" s="36">
        <v>-450</v>
      </c>
      <c r="AB32" s="36">
        <v>-450</v>
      </c>
      <c r="AC32" s="36">
        <v>-450</v>
      </c>
      <c r="AD32" s="36">
        <v>-750</v>
      </c>
      <c r="AE32" s="61">
        <f t="shared" si="44"/>
        <v>-750</v>
      </c>
      <c r="AF32" s="36">
        <v>0</v>
      </c>
      <c r="AG32" s="36">
        <v>0</v>
      </c>
      <c r="AH32" s="36">
        <v>-11596</v>
      </c>
      <c r="AI32" s="36">
        <v>-11596</v>
      </c>
      <c r="AJ32" s="61">
        <f t="shared" si="45"/>
        <v>-11596</v>
      </c>
      <c r="AK32" s="36">
        <v>-5555</v>
      </c>
      <c r="AL32" s="36">
        <v>-5555</v>
      </c>
      <c r="AM32" s="36">
        <v>-5555</v>
      </c>
      <c r="AN32" s="36">
        <v>-5555</v>
      </c>
      <c r="AO32" s="61">
        <f t="shared" si="46"/>
        <v>-5555</v>
      </c>
      <c r="AP32" s="36">
        <v>0</v>
      </c>
      <c r="AQ32" s="36">
        <v>0</v>
      </c>
      <c r="AR32" s="36">
        <v>0</v>
      </c>
      <c r="AS32" s="36">
        <v>0</v>
      </c>
      <c r="AT32" s="61">
        <f t="shared" si="47"/>
        <v>0</v>
      </c>
      <c r="AU32" s="36">
        <v>-4958</v>
      </c>
      <c r="AV32" s="36">
        <v>-4958</v>
      </c>
      <c r="AW32" s="36">
        <v>-4958</v>
      </c>
      <c r="AX32" s="36">
        <v>-4958</v>
      </c>
      <c r="AY32" s="61">
        <f t="shared" si="48"/>
        <v>-4958</v>
      </c>
      <c r="AZ32" s="36">
        <v>0</v>
      </c>
      <c r="BA32" s="36">
        <v>-46527</v>
      </c>
      <c r="BB32" s="36">
        <v>-46527</v>
      </c>
      <c r="BC32" s="36">
        <v>-47792</v>
      </c>
      <c r="BD32" s="61">
        <f t="shared" si="49"/>
        <v>-47792</v>
      </c>
      <c r="BE32" s="36">
        <v>0</v>
      </c>
      <c r="BF32" s="36">
        <v>-11307</v>
      </c>
      <c r="BG32" s="36">
        <v>-50594</v>
      </c>
      <c r="BH32" s="36">
        <v>-60483</v>
      </c>
      <c r="BI32" s="61">
        <f t="shared" si="50"/>
        <v>-60483</v>
      </c>
      <c r="BJ32" s="36">
        <v>0</v>
      </c>
      <c r="BK32" s="36">
        <v>-4422</v>
      </c>
      <c r="BL32" s="36">
        <v>-4423</v>
      </c>
      <c r="BM32" s="36">
        <v>-109115</v>
      </c>
      <c r="BN32" s="61">
        <f t="shared" si="51"/>
        <v>-109115</v>
      </c>
      <c r="BO32" s="36">
        <v>-15115</v>
      </c>
      <c r="BP32" s="36">
        <v>-15115</v>
      </c>
      <c r="BQ32" s="36">
        <v>-15115</v>
      </c>
      <c r="BR32" s="36">
        <v>-15115</v>
      </c>
      <c r="BS32" s="61">
        <f t="shared" si="52"/>
        <v>-15115</v>
      </c>
      <c r="BT32" s="36">
        <v>0</v>
      </c>
      <c r="BU32" s="36">
        <v>0</v>
      </c>
      <c r="BV32" s="36">
        <v>0</v>
      </c>
      <c r="BW32" s="36">
        <v>-429</v>
      </c>
      <c r="BX32" s="61">
        <f t="shared" si="53"/>
        <v>-429</v>
      </c>
      <c r="BY32" s="36">
        <v>0</v>
      </c>
      <c r="BZ32" s="36">
        <v>0</v>
      </c>
      <c r="CA32" s="36">
        <v>0</v>
      </c>
      <c r="CB32" s="36">
        <v>0</v>
      </c>
      <c r="CC32" s="61">
        <f t="shared" si="54"/>
        <v>0</v>
      </c>
      <c r="CD32" s="36">
        <v>-2000</v>
      </c>
      <c r="CE32" s="36">
        <v>-2000</v>
      </c>
      <c r="CF32" s="36">
        <v>-2000</v>
      </c>
      <c r="CG32" s="36">
        <v>-2000</v>
      </c>
      <c r="CH32" s="61">
        <f>CG32</f>
        <v>-2000</v>
      </c>
      <c r="CI32" s="36">
        <v>0</v>
      </c>
      <c r="CJ32" s="36">
        <v>0</v>
      </c>
      <c r="CK32" s="36">
        <v>0</v>
      </c>
      <c r="CL32" s="36">
        <v>0</v>
      </c>
      <c r="CM32" s="61">
        <f t="shared" si="58"/>
        <v>0</v>
      </c>
      <c r="CN32" s="36">
        <v>0</v>
      </c>
      <c r="CO32" s="36">
        <v>0</v>
      </c>
      <c r="CP32" s="36"/>
      <c r="CQ32" s="36"/>
      <c r="CR32" s="61">
        <f>CQ32</f>
        <v>0</v>
      </c>
    </row>
    <row r="33" spans="1:96" ht="11.15" customHeight="1" x14ac:dyDescent="0.2">
      <c r="A33" s="21" t="s">
        <v>227</v>
      </c>
      <c r="B33" s="36"/>
      <c r="C33" s="36"/>
      <c r="D33" s="36"/>
      <c r="E33" s="36"/>
      <c r="F33" s="61">
        <f t="shared" si="39"/>
        <v>0</v>
      </c>
      <c r="G33" s="36"/>
      <c r="H33" s="36"/>
      <c r="I33" s="36"/>
      <c r="J33" s="36"/>
      <c r="K33" s="61">
        <f t="shared" si="40"/>
        <v>0</v>
      </c>
      <c r="L33" s="36"/>
      <c r="M33" s="36"/>
      <c r="N33" s="36"/>
      <c r="O33" s="36"/>
      <c r="P33" s="61">
        <f t="shared" si="41"/>
        <v>0</v>
      </c>
      <c r="Q33" s="36"/>
      <c r="R33" s="36"/>
      <c r="S33" s="36"/>
      <c r="T33" s="36"/>
      <c r="U33" s="61">
        <f t="shared" si="42"/>
        <v>0</v>
      </c>
      <c r="V33" s="36"/>
      <c r="W33" s="36"/>
      <c r="X33" s="36"/>
      <c r="Y33" s="36"/>
      <c r="Z33" s="61">
        <f t="shared" si="43"/>
        <v>0</v>
      </c>
      <c r="AA33" s="36"/>
      <c r="AB33" s="36"/>
      <c r="AC33" s="36"/>
      <c r="AD33" s="36"/>
      <c r="AE33" s="61">
        <f t="shared" si="44"/>
        <v>0</v>
      </c>
      <c r="AF33" s="36"/>
      <c r="AG33" s="36"/>
      <c r="AH33" s="36"/>
      <c r="AI33" s="36"/>
      <c r="AJ33" s="61">
        <f t="shared" si="45"/>
        <v>0</v>
      </c>
      <c r="AK33" s="36"/>
      <c r="AL33" s="36"/>
      <c r="AM33" s="36"/>
      <c r="AN33" s="36"/>
      <c r="AO33" s="61">
        <f t="shared" si="46"/>
        <v>0</v>
      </c>
      <c r="AP33" s="36"/>
      <c r="AQ33" s="36"/>
      <c r="AR33" s="36"/>
      <c r="AS33" s="36"/>
      <c r="AT33" s="61">
        <f t="shared" si="47"/>
        <v>0</v>
      </c>
      <c r="AU33" s="36"/>
      <c r="AV33" s="36"/>
      <c r="AW33" s="36"/>
      <c r="AX33" s="36"/>
      <c r="AY33" s="61">
        <f t="shared" si="48"/>
        <v>0</v>
      </c>
      <c r="AZ33" s="36"/>
      <c r="BA33" s="36"/>
      <c r="BB33" s="36"/>
      <c r="BC33" s="36"/>
      <c r="BD33" s="61">
        <f t="shared" si="49"/>
        <v>0</v>
      </c>
      <c r="BE33" s="36"/>
      <c r="BF33" s="36"/>
      <c r="BG33" s="36"/>
      <c r="BH33" s="36"/>
      <c r="BI33" s="61">
        <f t="shared" si="50"/>
        <v>0</v>
      </c>
      <c r="BJ33" s="36"/>
      <c r="BK33" s="36"/>
      <c r="BL33" s="36"/>
      <c r="BM33" s="36"/>
      <c r="BN33" s="61">
        <f t="shared" si="51"/>
        <v>0</v>
      </c>
      <c r="BO33" s="36"/>
      <c r="BP33" s="36"/>
      <c r="BQ33" s="36"/>
      <c r="BR33" s="36"/>
      <c r="BS33" s="61">
        <f t="shared" si="52"/>
        <v>0</v>
      </c>
      <c r="BT33" s="36"/>
      <c r="BU33" s="36"/>
      <c r="BV33" s="36"/>
      <c r="BW33" s="36"/>
      <c r="BX33" s="61">
        <f t="shared" si="53"/>
        <v>0</v>
      </c>
      <c r="BY33" s="36">
        <v>0</v>
      </c>
      <c r="BZ33" s="36">
        <v>0</v>
      </c>
      <c r="CA33" s="36">
        <v>0</v>
      </c>
      <c r="CB33" s="36">
        <v>0</v>
      </c>
      <c r="CC33" s="61">
        <f t="shared" si="54"/>
        <v>0</v>
      </c>
      <c r="CD33" s="36">
        <v>0</v>
      </c>
      <c r="CE33" s="36">
        <v>0</v>
      </c>
      <c r="CF33" s="36">
        <v>52141</v>
      </c>
      <c r="CG33" s="36">
        <v>52941</v>
      </c>
      <c r="CH33" s="61">
        <f>CG33</f>
        <v>52941</v>
      </c>
      <c r="CI33" s="36">
        <v>0</v>
      </c>
      <c r="CJ33" s="36">
        <v>0</v>
      </c>
      <c r="CK33" s="36">
        <v>0</v>
      </c>
      <c r="CL33" s="36">
        <v>0</v>
      </c>
      <c r="CM33" s="61">
        <f>CL33</f>
        <v>0</v>
      </c>
      <c r="CN33" s="36">
        <v>0</v>
      </c>
      <c r="CO33" s="36">
        <v>0</v>
      </c>
      <c r="CP33" s="36"/>
      <c r="CQ33" s="36"/>
      <c r="CR33" s="61">
        <f>CQ33</f>
        <v>0</v>
      </c>
    </row>
    <row r="34" spans="1:96" ht="11.15" customHeight="1" x14ac:dyDescent="0.2">
      <c r="A34" s="21" t="s">
        <v>21</v>
      </c>
      <c r="B34" s="36">
        <v>1097</v>
      </c>
      <c r="C34" s="36">
        <v>1071</v>
      </c>
      <c r="D34" s="36">
        <v>1633</v>
      </c>
      <c r="E34" s="36">
        <v>1225</v>
      </c>
      <c r="F34" s="61">
        <f t="shared" si="39"/>
        <v>1225</v>
      </c>
      <c r="G34" s="36">
        <v>11</v>
      </c>
      <c r="H34" s="36">
        <v>17</v>
      </c>
      <c r="I34" s="36">
        <v>-336</v>
      </c>
      <c r="J34" s="36">
        <v>-69</v>
      </c>
      <c r="K34" s="61">
        <f t="shared" si="40"/>
        <v>-69</v>
      </c>
      <c r="L34" s="36">
        <v>59</v>
      </c>
      <c r="M34" s="36">
        <v>136</v>
      </c>
      <c r="N34" s="36">
        <v>191</v>
      </c>
      <c r="O34" s="36">
        <v>43</v>
      </c>
      <c r="P34" s="61">
        <f t="shared" si="41"/>
        <v>43</v>
      </c>
      <c r="Q34" s="36">
        <v>22</v>
      </c>
      <c r="R34" s="36">
        <v>-54</v>
      </c>
      <c r="S34" s="36">
        <v>58</v>
      </c>
      <c r="T34" s="36">
        <v>-141</v>
      </c>
      <c r="U34" s="61">
        <f t="shared" si="42"/>
        <v>-141</v>
      </c>
      <c r="V34" s="36">
        <v>181</v>
      </c>
      <c r="W34" s="36">
        <v>117</v>
      </c>
      <c r="X34" s="36">
        <v>171</v>
      </c>
      <c r="Y34" s="36">
        <v>-77</v>
      </c>
      <c r="Z34" s="61">
        <f t="shared" si="43"/>
        <v>-77</v>
      </c>
      <c r="AA34" s="36">
        <v>149</v>
      </c>
      <c r="AB34" s="36">
        <v>112</v>
      </c>
      <c r="AC34" s="36">
        <v>189</v>
      </c>
      <c r="AD34" s="36">
        <v>109</v>
      </c>
      <c r="AE34" s="61">
        <f t="shared" si="44"/>
        <v>109</v>
      </c>
      <c r="AF34" s="36">
        <v>149</v>
      </c>
      <c r="AG34" s="36">
        <v>-39</v>
      </c>
      <c r="AH34" s="36">
        <v>-313</v>
      </c>
      <c r="AI34" s="36">
        <v>-928</v>
      </c>
      <c r="AJ34" s="61">
        <f t="shared" si="45"/>
        <v>-928</v>
      </c>
      <c r="AK34" s="36">
        <v>375</v>
      </c>
      <c r="AL34" s="36">
        <v>407</v>
      </c>
      <c r="AM34" s="36">
        <v>442</v>
      </c>
      <c r="AN34" s="36">
        <v>-143</v>
      </c>
      <c r="AO34" s="61">
        <f t="shared" si="46"/>
        <v>-143</v>
      </c>
      <c r="AP34" s="36">
        <v>32</v>
      </c>
      <c r="AQ34" s="36">
        <v>42</v>
      </c>
      <c r="AR34" s="36">
        <v>66</v>
      </c>
      <c r="AS34" s="36">
        <v>87</v>
      </c>
      <c r="AT34" s="61">
        <f t="shared" si="47"/>
        <v>87</v>
      </c>
      <c r="AU34" s="36">
        <v>60</v>
      </c>
      <c r="AV34" s="36">
        <v>86</v>
      </c>
      <c r="AW34" s="36">
        <v>63</v>
      </c>
      <c r="AX34" s="36">
        <v>93</v>
      </c>
      <c r="AY34" s="61">
        <f t="shared" si="48"/>
        <v>93</v>
      </c>
      <c r="AZ34" s="36">
        <v>46</v>
      </c>
      <c r="BA34" s="36">
        <v>72</v>
      </c>
      <c r="BB34" s="36">
        <v>16</v>
      </c>
      <c r="BC34" s="36">
        <v>468</v>
      </c>
      <c r="BD34" s="61">
        <f t="shared" si="49"/>
        <v>468</v>
      </c>
      <c r="BE34" s="36">
        <v>-47</v>
      </c>
      <c r="BF34" s="36">
        <v>-568</v>
      </c>
      <c r="BG34" s="36">
        <v>-496</v>
      </c>
      <c r="BH34" s="36">
        <v>-352</v>
      </c>
      <c r="BI34" s="61">
        <f t="shared" si="50"/>
        <v>-352</v>
      </c>
      <c r="BJ34" s="36">
        <v>76</v>
      </c>
      <c r="BK34" s="36">
        <v>188</v>
      </c>
      <c r="BL34" s="36">
        <v>307</v>
      </c>
      <c r="BM34" s="36">
        <v>415</v>
      </c>
      <c r="BN34" s="61">
        <f t="shared" si="51"/>
        <v>415</v>
      </c>
      <c r="BO34" s="36">
        <v>15</v>
      </c>
      <c r="BP34" s="36">
        <v>209</v>
      </c>
      <c r="BQ34" s="36">
        <v>243</v>
      </c>
      <c r="BR34" s="36">
        <v>237</v>
      </c>
      <c r="BS34" s="61">
        <f t="shared" si="52"/>
        <v>237</v>
      </c>
      <c r="BT34" s="36">
        <v>79</v>
      </c>
      <c r="BU34" s="36">
        <v>115</v>
      </c>
      <c r="BV34" s="36">
        <v>17</v>
      </c>
      <c r="BW34" s="36">
        <v>-7</v>
      </c>
      <c r="BX34" s="61">
        <f t="shared" si="53"/>
        <v>-7</v>
      </c>
      <c r="BY34" s="36">
        <v>-2</v>
      </c>
      <c r="BZ34" s="36">
        <v>-547</v>
      </c>
      <c r="CA34" s="36">
        <v>-1078</v>
      </c>
      <c r="CB34" s="36">
        <v>-1515</v>
      </c>
      <c r="CC34" s="61">
        <f t="shared" si="54"/>
        <v>-1515</v>
      </c>
      <c r="CD34" s="36">
        <v>-1164</v>
      </c>
      <c r="CE34" s="36">
        <v>-350</v>
      </c>
      <c r="CF34" s="36">
        <v>-246</v>
      </c>
      <c r="CG34" s="36">
        <v>-43</v>
      </c>
      <c r="CH34" s="61">
        <f t="shared" si="55"/>
        <v>-43</v>
      </c>
      <c r="CI34" s="36">
        <v>107</v>
      </c>
      <c r="CJ34" s="36">
        <v>326</v>
      </c>
      <c r="CK34" s="36">
        <v>446</v>
      </c>
      <c r="CL34" s="36">
        <v>558</v>
      </c>
      <c r="CM34" s="61">
        <f t="shared" si="56"/>
        <v>558</v>
      </c>
      <c r="CN34" s="36">
        <v>157</v>
      </c>
      <c r="CO34" s="36">
        <v>188</v>
      </c>
      <c r="CP34" s="36"/>
      <c r="CQ34" s="36"/>
      <c r="CR34" s="61">
        <f t="shared" si="57"/>
        <v>0</v>
      </c>
    </row>
    <row r="35" spans="1:96" s="2" customFormat="1" ht="11.15" customHeight="1" x14ac:dyDescent="0.25">
      <c r="A35" s="27" t="s">
        <v>34</v>
      </c>
      <c r="B35" s="12">
        <f>SUM(B27:B34)</f>
        <v>-2768</v>
      </c>
      <c r="C35" s="12">
        <f>SUM(C27:C34)</f>
        <v>-7963</v>
      </c>
      <c r="D35" s="12">
        <f>SUM(D27:D34)</f>
        <v>-12762</v>
      </c>
      <c r="E35" s="12">
        <f>SUM(E27:E34)</f>
        <v>-19127</v>
      </c>
      <c r="F35" s="60">
        <f t="shared" si="39"/>
        <v>-19127</v>
      </c>
      <c r="G35" s="12">
        <f>SUM(G27:G34)</f>
        <v>-7194</v>
      </c>
      <c r="H35" s="12">
        <f>SUM(H27:H34)</f>
        <v>-17764</v>
      </c>
      <c r="I35" s="12">
        <f>SUM(I27:I34)</f>
        <v>-26716</v>
      </c>
      <c r="J35" s="12">
        <f>SUM(J27:J34)</f>
        <v>-41282</v>
      </c>
      <c r="K35" s="60">
        <f t="shared" si="40"/>
        <v>-41282</v>
      </c>
      <c r="L35" s="12">
        <f>SUM(L27:L34)</f>
        <v>-8453</v>
      </c>
      <c r="M35" s="12">
        <f>SUM(M27:M34)</f>
        <v>-14739</v>
      </c>
      <c r="N35" s="12">
        <f>SUM(N27:N34)</f>
        <v>-23848</v>
      </c>
      <c r="O35" s="12">
        <f>SUM(O27:O34)</f>
        <v>-31618</v>
      </c>
      <c r="P35" s="60">
        <f t="shared" si="41"/>
        <v>-31618</v>
      </c>
      <c r="Q35" s="12">
        <f>SUM(Q27:Q34)</f>
        <v>-4664</v>
      </c>
      <c r="R35" s="12">
        <f>SUM(R27:R34)</f>
        <v>-7780</v>
      </c>
      <c r="S35" s="12">
        <f>SUM(S27:S34)</f>
        <v>-9522</v>
      </c>
      <c r="T35" s="12">
        <f>SUM(T27:T34)</f>
        <v>-10639</v>
      </c>
      <c r="U35" s="60">
        <f t="shared" si="42"/>
        <v>-10639</v>
      </c>
      <c r="V35" s="12">
        <f>SUM(V27:V34)</f>
        <v>-5520</v>
      </c>
      <c r="W35" s="12">
        <f>SUM(W27:W34)</f>
        <v>-12692</v>
      </c>
      <c r="X35" s="12">
        <f>SUM(X27:X34)</f>
        <v>-18138</v>
      </c>
      <c r="Y35" s="12">
        <f>SUM(Y27:Y34)</f>
        <v>-32559</v>
      </c>
      <c r="Z35" s="60">
        <f t="shared" si="43"/>
        <v>-32559</v>
      </c>
      <c r="AA35" s="12">
        <f>SUM(AA27:AA34)</f>
        <v>-9888</v>
      </c>
      <c r="AB35" s="12">
        <f>SUM(AB27:AB34)</f>
        <v>-23124</v>
      </c>
      <c r="AC35" s="12">
        <f>SUM(AC27:AC34)</f>
        <v>-35011</v>
      </c>
      <c r="AD35" s="12">
        <f>SUM(AD27:AD34)</f>
        <v>-79099</v>
      </c>
      <c r="AE35" s="60">
        <f t="shared" si="44"/>
        <v>-79099</v>
      </c>
      <c r="AF35" s="12">
        <f>SUM(AF27:AF34)</f>
        <v>-6629</v>
      </c>
      <c r="AG35" s="12">
        <f>SUM(AG27:AG34)</f>
        <v>-20318</v>
      </c>
      <c r="AH35" s="12">
        <f>SUM(AH27:AH34)</f>
        <v>-38172</v>
      </c>
      <c r="AI35" s="12">
        <f>SUM(AI27:AI34)</f>
        <v>-55257</v>
      </c>
      <c r="AJ35" s="60">
        <f t="shared" si="45"/>
        <v>-55257</v>
      </c>
      <c r="AK35" s="12">
        <f>SUM(AK27:AK34)</f>
        <v>-22837</v>
      </c>
      <c r="AL35" s="12">
        <f>SUM(AL27:AL34)</f>
        <v>-39245</v>
      </c>
      <c r="AM35" s="12">
        <f>SUM(AM27:AM34)</f>
        <v>-53244</v>
      </c>
      <c r="AN35" s="12">
        <f>SUM(AN27:AN34)</f>
        <v>-75886</v>
      </c>
      <c r="AO35" s="60">
        <f t="shared" si="46"/>
        <v>-75886</v>
      </c>
      <c r="AP35" s="12">
        <f>SUM(AP27:AP34)</f>
        <v>-11305</v>
      </c>
      <c r="AQ35" s="12">
        <f>SUM(AQ27:AQ34)</f>
        <v>-45485</v>
      </c>
      <c r="AR35" s="12">
        <f>SUM(AR27:AR34)</f>
        <v>-74239</v>
      </c>
      <c r="AS35" s="12">
        <f>SUM(AS27:AS34)</f>
        <v>-90080</v>
      </c>
      <c r="AT35" s="60">
        <f t="shared" si="47"/>
        <v>-90080</v>
      </c>
      <c r="AU35" s="12">
        <f>SUM(AU27:AU34)</f>
        <v>-18794</v>
      </c>
      <c r="AV35" s="12">
        <f>SUM(AV27:AV34)</f>
        <v>-37339</v>
      </c>
      <c r="AW35" s="12">
        <f>SUM(AW27:AW34)</f>
        <v>-55423</v>
      </c>
      <c r="AX35" s="12">
        <f>SUM(AX27:AX34)</f>
        <v>-181567</v>
      </c>
      <c r="AY35" s="60">
        <f t="shared" si="48"/>
        <v>-181567</v>
      </c>
      <c r="AZ35" s="12">
        <f>SUM(AZ27:AZ34)</f>
        <v>-44684</v>
      </c>
      <c r="BA35" s="12">
        <f>SUM(BA27:BA34)</f>
        <v>-137625</v>
      </c>
      <c r="BB35" s="12">
        <f>SUM(BB27:BB34)</f>
        <v>-166904</v>
      </c>
      <c r="BC35" s="12">
        <f>SUM(BC27:BC34)</f>
        <v>-274408</v>
      </c>
      <c r="BD35" s="60">
        <f t="shared" si="49"/>
        <v>-274408</v>
      </c>
      <c r="BE35" s="12">
        <f>SUM(BE27:BE34)</f>
        <v>20374</v>
      </c>
      <c r="BF35" s="12">
        <f>SUM(BF27:BF34)</f>
        <v>44704</v>
      </c>
      <c r="BG35" s="12">
        <f>SUM(BG27:BG34)</f>
        <v>-93316</v>
      </c>
      <c r="BH35" s="12">
        <f>SUM(BH27:BH34)</f>
        <v>-170805</v>
      </c>
      <c r="BI35" s="60">
        <f t="shared" si="50"/>
        <v>-170805</v>
      </c>
      <c r="BJ35" s="12">
        <f>SUM(BJ27:BJ34)</f>
        <v>-39443</v>
      </c>
      <c r="BK35" s="12">
        <f>SUM(BK27:BK34)</f>
        <v>-228321</v>
      </c>
      <c r="BL35" s="12">
        <f>SUM(BL27:BL34)</f>
        <v>-416868</v>
      </c>
      <c r="BM35" s="12">
        <f>SUM(BM27:BM34)</f>
        <v>-562999</v>
      </c>
      <c r="BN35" s="60">
        <f t="shared" si="51"/>
        <v>-562999</v>
      </c>
      <c r="BO35" s="12">
        <f>SUM(BO27:BO34)</f>
        <v>-23152</v>
      </c>
      <c r="BP35" s="12">
        <f>SUM(BP27:BP34)</f>
        <v>-106258</v>
      </c>
      <c r="BQ35" s="12">
        <f>SUM(BQ27:BQ34)</f>
        <v>-111237</v>
      </c>
      <c r="BR35" s="12">
        <f>SUM(BR27:BR34)</f>
        <v>-139975</v>
      </c>
      <c r="BS35" s="60">
        <f t="shared" si="52"/>
        <v>-139975</v>
      </c>
      <c r="BT35" s="12">
        <f>SUM(BT27:BT34)</f>
        <v>-139754</v>
      </c>
      <c r="BU35" s="12">
        <f>SUM(BU27:BU34)</f>
        <v>-35204</v>
      </c>
      <c r="BV35" s="12">
        <f>SUM(BV27:BV34)</f>
        <v>-96078</v>
      </c>
      <c r="BW35" s="12">
        <f>SUM(BW27:BW34)</f>
        <v>-99574</v>
      </c>
      <c r="BX35" s="60">
        <f t="shared" si="53"/>
        <v>-99574</v>
      </c>
      <c r="BY35" s="12">
        <f>SUM(BY27:BY34)</f>
        <v>-60694</v>
      </c>
      <c r="BZ35" s="12">
        <f>SUM(BZ27:BZ34)</f>
        <v>-283643</v>
      </c>
      <c r="CA35" s="12">
        <f>SUM(CA27:CA34)</f>
        <v>-304824</v>
      </c>
      <c r="CB35" s="12">
        <f>SUM(CB27:CB34)</f>
        <v>-416282</v>
      </c>
      <c r="CC35" s="60">
        <f t="shared" si="54"/>
        <v>-416282</v>
      </c>
      <c r="CD35" s="12">
        <f>SUM(CD27:CD34)</f>
        <v>2470</v>
      </c>
      <c r="CE35" s="12">
        <f>SUM(CE27:CE34)</f>
        <v>280221</v>
      </c>
      <c r="CF35" s="12">
        <f>SUM(CF27:CF34)</f>
        <v>407465</v>
      </c>
      <c r="CG35" s="12">
        <f>SUM(CG27:CG34)</f>
        <v>296952</v>
      </c>
      <c r="CH35" s="60">
        <f t="shared" si="55"/>
        <v>296952</v>
      </c>
      <c r="CI35" s="12">
        <f>SUM(CI27:CI34)</f>
        <v>-96018</v>
      </c>
      <c r="CJ35" s="12">
        <f>SUM(CJ27:CJ34)</f>
        <v>-90541</v>
      </c>
      <c r="CK35" s="12">
        <f>SUM(CK27:CK34)</f>
        <v>-162996</v>
      </c>
      <c r="CL35" s="12">
        <f>SUM(CL27:CL34)</f>
        <v>-237554</v>
      </c>
      <c r="CM35" s="60">
        <f t="shared" si="56"/>
        <v>-237554</v>
      </c>
      <c r="CN35" s="12">
        <f>SUM(CN27:CN34)</f>
        <v>23736</v>
      </c>
      <c r="CO35" s="12">
        <f>SUM(CO27:CO34)</f>
        <v>308644</v>
      </c>
      <c r="CP35" s="12"/>
      <c r="CQ35" s="12"/>
      <c r="CR35" s="60">
        <f t="shared" si="57"/>
        <v>0</v>
      </c>
    </row>
    <row r="36" spans="1:96" s="2" customFormat="1" ht="11.15" customHeight="1" x14ac:dyDescent="0.25">
      <c r="A36" s="21"/>
      <c r="B36" s="11"/>
      <c r="C36" s="11"/>
      <c r="D36" s="11"/>
      <c r="E36" s="11"/>
      <c r="F36" s="61"/>
      <c r="G36" s="11"/>
      <c r="H36" s="11"/>
      <c r="I36" s="11"/>
      <c r="J36" s="11"/>
      <c r="K36" s="61"/>
      <c r="L36" s="11"/>
      <c r="M36" s="11"/>
      <c r="N36" s="11"/>
      <c r="O36" s="11"/>
      <c r="P36" s="61"/>
      <c r="Q36" s="11"/>
      <c r="R36" s="11"/>
      <c r="S36" s="11"/>
      <c r="T36" s="11"/>
      <c r="U36" s="61"/>
      <c r="V36" s="11"/>
      <c r="W36" s="11"/>
      <c r="X36" s="11"/>
      <c r="Y36" s="11"/>
      <c r="Z36" s="61"/>
      <c r="AA36" s="11"/>
      <c r="AB36" s="11"/>
      <c r="AC36" s="11"/>
      <c r="AD36" s="11"/>
      <c r="AE36" s="61"/>
      <c r="AF36" s="11"/>
      <c r="AG36" s="11"/>
      <c r="AH36" s="11"/>
      <c r="AI36" s="11"/>
      <c r="AJ36" s="61"/>
      <c r="AK36" s="11"/>
      <c r="AL36" s="11"/>
      <c r="AM36" s="11"/>
      <c r="AN36" s="11"/>
      <c r="AO36" s="61"/>
      <c r="AP36" s="11"/>
      <c r="AQ36" s="11"/>
      <c r="AR36" s="11"/>
      <c r="AS36" s="11"/>
      <c r="AT36" s="61"/>
      <c r="AU36" s="11"/>
      <c r="AV36" s="11"/>
      <c r="AW36" s="11"/>
      <c r="AX36" s="11"/>
      <c r="AY36" s="61"/>
      <c r="AZ36" s="11"/>
      <c r="BA36" s="11"/>
      <c r="BB36" s="11"/>
      <c r="BC36" s="11"/>
      <c r="BD36" s="61"/>
      <c r="BE36" s="11"/>
      <c r="BF36" s="11"/>
      <c r="BG36" s="11"/>
      <c r="BH36" s="11"/>
      <c r="BI36" s="61"/>
      <c r="BJ36" s="11"/>
      <c r="BK36" s="11"/>
      <c r="BL36" s="11"/>
      <c r="BM36" s="11"/>
      <c r="BN36" s="61"/>
      <c r="BO36" s="11"/>
      <c r="BP36" s="11"/>
      <c r="BQ36" s="11"/>
      <c r="BR36" s="11"/>
      <c r="BS36" s="61"/>
      <c r="BT36" s="11"/>
      <c r="BU36" s="11"/>
      <c r="BV36" s="11"/>
      <c r="BW36" s="11"/>
      <c r="BX36" s="61"/>
      <c r="BY36" s="11"/>
      <c r="BZ36" s="11"/>
      <c r="CA36" s="11"/>
      <c r="CB36" s="11"/>
      <c r="CC36" s="61"/>
      <c r="CD36" s="11"/>
      <c r="CE36" s="11"/>
      <c r="CF36" s="11"/>
      <c r="CG36" s="11"/>
      <c r="CH36" s="61"/>
      <c r="CI36" s="11"/>
      <c r="CJ36" s="11"/>
      <c r="CK36" s="11"/>
      <c r="CL36" s="11"/>
      <c r="CM36" s="61"/>
      <c r="CN36" s="11"/>
      <c r="CO36" s="11"/>
      <c r="CP36" s="11"/>
      <c r="CQ36" s="11"/>
      <c r="CR36" s="61"/>
    </row>
    <row r="37" spans="1:96" s="2" customFormat="1" ht="11.15" customHeight="1" x14ac:dyDescent="0.25">
      <c r="A37" s="35" t="s">
        <v>200</v>
      </c>
      <c r="B37" s="4"/>
      <c r="C37" s="4"/>
      <c r="D37" s="4"/>
      <c r="E37" s="4"/>
      <c r="F37" s="69"/>
      <c r="G37" s="4"/>
      <c r="H37" s="4"/>
      <c r="I37" s="5"/>
      <c r="J37" s="5"/>
      <c r="K37" s="69"/>
      <c r="L37" s="4"/>
      <c r="M37" s="4"/>
      <c r="N37" s="5"/>
      <c r="O37" s="5"/>
      <c r="P37" s="69"/>
      <c r="Q37" s="4"/>
      <c r="R37" s="4"/>
      <c r="S37" s="5"/>
      <c r="T37" s="5"/>
      <c r="U37" s="69"/>
      <c r="V37" s="4"/>
      <c r="W37" s="4"/>
      <c r="X37" s="5"/>
      <c r="Y37" s="5"/>
      <c r="Z37" s="69"/>
      <c r="AA37" s="4"/>
      <c r="AB37" s="4"/>
      <c r="AC37" s="5"/>
      <c r="AD37" s="5"/>
      <c r="AE37" s="69"/>
      <c r="AF37" s="4"/>
      <c r="AG37" s="4"/>
      <c r="AH37" s="5"/>
      <c r="AI37" s="5"/>
      <c r="AJ37" s="69"/>
      <c r="AK37" s="4"/>
      <c r="AL37" s="4"/>
      <c r="AM37" s="5"/>
      <c r="AN37" s="5"/>
      <c r="AO37" s="69"/>
      <c r="AP37" s="4"/>
      <c r="AQ37" s="4"/>
      <c r="AR37" s="5"/>
      <c r="AS37" s="5"/>
      <c r="AT37" s="69"/>
      <c r="AU37" s="4"/>
      <c r="AV37" s="5"/>
      <c r="AW37" s="5"/>
      <c r="AX37" s="5"/>
      <c r="AY37" s="69"/>
      <c r="AZ37" s="4"/>
      <c r="BA37" s="5"/>
      <c r="BB37" s="5"/>
      <c r="BC37" s="5"/>
      <c r="BD37" s="69"/>
      <c r="BE37" s="4"/>
      <c r="BF37" s="5"/>
      <c r="BG37" s="5"/>
      <c r="BH37" s="5"/>
      <c r="BI37" s="69"/>
      <c r="BJ37" s="4"/>
      <c r="BK37" s="5"/>
      <c r="BL37" s="5"/>
      <c r="BM37" s="5"/>
      <c r="BN37" s="69"/>
      <c r="BO37" s="4"/>
      <c r="BP37" s="5"/>
      <c r="BQ37" s="5"/>
      <c r="BR37" s="5"/>
      <c r="BS37" s="69"/>
      <c r="BT37" s="4"/>
      <c r="BU37" s="5"/>
      <c r="BV37" s="5"/>
      <c r="BW37" s="5"/>
      <c r="BX37" s="69"/>
      <c r="BY37" s="4"/>
      <c r="BZ37" s="5"/>
      <c r="CA37" s="5"/>
      <c r="CB37" s="5"/>
      <c r="CC37" s="69"/>
      <c r="CD37" s="4"/>
      <c r="CE37" s="5"/>
      <c r="CF37" s="5"/>
      <c r="CG37" s="5"/>
      <c r="CH37" s="69"/>
      <c r="CI37" s="4"/>
      <c r="CJ37" s="4"/>
      <c r="CK37" s="4"/>
      <c r="CL37" s="5"/>
      <c r="CM37" s="69"/>
      <c r="CN37" s="4"/>
      <c r="CO37" s="4"/>
      <c r="CP37" s="4"/>
      <c r="CQ37" s="5"/>
      <c r="CR37" s="69"/>
    </row>
    <row r="38" spans="1:96" ht="11.15" customHeight="1" x14ac:dyDescent="0.2">
      <c r="A38" s="21" t="s">
        <v>87</v>
      </c>
      <c r="B38" s="36">
        <v>3940</v>
      </c>
      <c r="C38" s="36">
        <v>8517</v>
      </c>
      <c r="D38" s="36">
        <v>15488</v>
      </c>
      <c r="E38" s="36">
        <v>16695</v>
      </c>
      <c r="F38" s="61">
        <f t="shared" ref="F38:F49" si="59">E38</f>
        <v>16695</v>
      </c>
      <c r="G38" s="36">
        <v>6052</v>
      </c>
      <c r="H38" s="36">
        <v>20298</v>
      </c>
      <c r="I38" s="36">
        <v>27043</v>
      </c>
      <c r="J38" s="36">
        <v>36542</v>
      </c>
      <c r="K38" s="61">
        <f t="shared" ref="K38" si="60">J38</f>
        <v>36542</v>
      </c>
      <c r="L38" s="36">
        <v>5926</v>
      </c>
      <c r="M38" s="36">
        <v>14127</v>
      </c>
      <c r="N38" s="36">
        <v>21049</v>
      </c>
      <c r="O38" s="36">
        <v>29693</v>
      </c>
      <c r="P38" s="61">
        <f t="shared" ref="P38:P49" si="61">O38</f>
        <v>29693</v>
      </c>
      <c r="Q38" s="36">
        <v>13528</v>
      </c>
      <c r="R38" s="36">
        <v>16502</v>
      </c>
      <c r="S38" s="36">
        <v>17393</v>
      </c>
      <c r="T38" s="36">
        <v>19056</v>
      </c>
      <c r="U38" s="61">
        <f t="shared" ref="U38:U49" si="62">T38</f>
        <v>19056</v>
      </c>
      <c r="V38" s="36">
        <v>4274</v>
      </c>
      <c r="W38" s="36">
        <v>5543</v>
      </c>
      <c r="X38" s="36">
        <v>9147</v>
      </c>
      <c r="Y38" s="36">
        <v>13828</v>
      </c>
      <c r="Z38" s="61">
        <f t="shared" ref="Z38:Z49" si="63">Y38</f>
        <v>13828</v>
      </c>
      <c r="AA38" s="36">
        <v>3629</v>
      </c>
      <c r="AB38" s="36">
        <v>6951</v>
      </c>
      <c r="AC38" s="36">
        <v>8683</v>
      </c>
      <c r="AD38" s="36">
        <v>10673</v>
      </c>
      <c r="AE38" s="61">
        <f t="shared" ref="AE38:AE49" si="64">AD38</f>
        <v>10673</v>
      </c>
      <c r="AF38" s="36">
        <v>5027</v>
      </c>
      <c r="AG38" s="36">
        <v>6949</v>
      </c>
      <c r="AH38" s="36">
        <v>9647</v>
      </c>
      <c r="AI38" s="36">
        <v>12760</v>
      </c>
      <c r="AJ38" s="61">
        <f t="shared" ref="AJ38:AJ49" si="65">AI38</f>
        <v>12760</v>
      </c>
      <c r="AK38" s="36">
        <v>8897</v>
      </c>
      <c r="AL38" s="36">
        <v>11971</v>
      </c>
      <c r="AM38" s="36">
        <v>14124</v>
      </c>
      <c r="AN38" s="36">
        <v>16843</v>
      </c>
      <c r="AO38" s="61">
        <f t="shared" ref="AO38:AO49" si="66">AN38</f>
        <v>16843</v>
      </c>
      <c r="AP38" s="36">
        <v>10889</v>
      </c>
      <c r="AQ38" s="36">
        <v>15376</v>
      </c>
      <c r="AR38" s="36">
        <v>26051</v>
      </c>
      <c r="AS38" s="36">
        <v>33282</v>
      </c>
      <c r="AT38" s="61">
        <f t="shared" ref="AT38:AT49" si="67">AS38</f>
        <v>33282</v>
      </c>
      <c r="AU38" s="36">
        <v>3616</v>
      </c>
      <c r="AV38" s="36">
        <v>9432</v>
      </c>
      <c r="AW38" s="36">
        <v>7506</v>
      </c>
      <c r="AX38" s="36">
        <v>12887</v>
      </c>
      <c r="AY38" s="61">
        <f t="shared" ref="AY38:AY49" si="68">AX38</f>
        <v>12887</v>
      </c>
      <c r="AZ38" s="36">
        <v>2214</v>
      </c>
      <c r="BA38" s="36">
        <v>4002</v>
      </c>
      <c r="BB38" s="36">
        <v>6030</v>
      </c>
      <c r="BC38" s="36">
        <v>7992</v>
      </c>
      <c r="BD38" s="61">
        <f t="shared" ref="BD38" si="69">BC38</f>
        <v>7992</v>
      </c>
      <c r="BE38" s="36">
        <v>1934</v>
      </c>
      <c r="BF38" s="36">
        <v>6761</v>
      </c>
      <c r="BG38" s="36">
        <v>6761</v>
      </c>
      <c r="BH38" s="36">
        <v>6761</v>
      </c>
      <c r="BI38" s="61">
        <f t="shared" ref="BI38" si="70">BH38</f>
        <v>6761</v>
      </c>
      <c r="BJ38" s="36">
        <v>255</v>
      </c>
      <c r="BK38" s="36">
        <v>255</v>
      </c>
      <c r="BL38" s="36">
        <v>255</v>
      </c>
      <c r="BM38" s="36">
        <v>255</v>
      </c>
      <c r="BN38" s="61">
        <f t="shared" ref="BN38" si="71">BM38</f>
        <v>255</v>
      </c>
      <c r="BO38" s="36">
        <v>0</v>
      </c>
      <c r="BP38" s="36">
        <v>0</v>
      </c>
      <c r="BQ38" s="36">
        <v>15</v>
      </c>
      <c r="BR38" s="36">
        <v>15</v>
      </c>
      <c r="BS38" s="61">
        <f t="shared" ref="BS38" si="72">BR38</f>
        <v>15</v>
      </c>
      <c r="BT38" s="36">
        <v>0</v>
      </c>
      <c r="BU38" s="36">
        <v>0</v>
      </c>
      <c r="BV38" s="36">
        <v>0</v>
      </c>
      <c r="BW38" s="36">
        <v>0</v>
      </c>
      <c r="BX38" s="61">
        <f t="shared" ref="BX38" si="73">BW38</f>
        <v>0</v>
      </c>
      <c r="BY38" s="36">
        <v>0</v>
      </c>
      <c r="BZ38" s="36">
        <v>0</v>
      </c>
      <c r="CA38" s="36">
        <v>0</v>
      </c>
      <c r="CB38" s="36">
        <v>0</v>
      </c>
      <c r="CC38" s="61">
        <f t="shared" ref="CC38" si="74">CB38</f>
        <v>0</v>
      </c>
      <c r="CD38" s="36">
        <v>0</v>
      </c>
      <c r="CE38" s="36">
        <v>0</v>
      </c>
      <c r="CF38" s="36">
        <v>0</v>
      </c>
      <c r="CG38" s="36">
        <v>0</v>
      </c>
      <c r="CH38" s="61">
        <f t="shared" ref="CH38" si="75">CG38</f>
        <v>0</v>
      </c>
      <c r="CI38" s="36">
        <v>0</v>
      </c>
      <c r="CJ38" s="36">
        <v>0</v>
      </c>
      <c r="CK38" s="36">
        <v>0</v>
      </c>
      <c r="CL38" s="36">
        <v>0</v>
      </c>
      <c r="CM38" s="61">
        <f t="shared" ref="CM38" si="76">CL38</f>
        <v>0</v>
      </c>
      <c r="CN38" s="36">
        <v>0</v>
      </c>
      <c r="CO38" s="36">
        <v>0</v>
      </c>
      <c r="CP38" s="36"/>
      <c r="CQ38" s="36"/>
      <c r="CR38" s="61">
        <f t="shared" ref="CR38" si="77">CQ38</f>
        <v>0</v>
      </c>
    </row>
    <row r="39" spans="1:96" ht="11.15" customHeight="1" x14ac:dyDescent="0.2">
      <c r="A39" s="21" t="s">
        <v>88</v>
      </c>
      <c r="B39" s="36">
        <v>-3938</v>
      </c>
      <c r="C39" s="36">
        <v>-6325</v>
      </c>
      <c r="D39" s="36">
        <v>-11809</v>
      </c>
      <c r="E39" s="36">
        <v>-18282</v>
      </c>
      <c r="F39" s="61">
        <f>E39</f>
        <v>-18282</v>
      </c>
      <c r="G39" s="36">
        <v>-7769</v>
      </c>
      <c r="H39" s="36">
        <v>-12118</v>
      </c>
      <c r="I39" s="36">
        <v>-14299</v>
      </c>
      <c r="J39" s="36">
        <v>-28269</v>
      </c>
      <c r="K39" s="61">
        <f>J39</f>
        <v>-28269</v>
      </c>
      <c r="L39" s="36">
        <v>-2585</v>
      </c>
      <c r="M39" s="36">
        <v>-6041</v>
      </c>
      <c r="N39" s="36">
        <v>-16682</v>
      </c>
      <c r="O39" s="36">
        <v>-21936</v>
      </c>
      <c r="P39" s="61">
        <f>O39</f>
        <v>-21936</v>
      </c>
      <c r="Q39" s="36">
        <v>-3298</v>
      </c>
      <c r="R39" s="36">
        <v>-4716</v>
      </c>
      <c r="S39" s="36">
        <v>-21779</v>
      </c>
      <c r="T39" s="36">
        <v>-32851</v>
      </c>
      <c r="U39" s="61">
        <f>T39</f>
        <v>-32851</v>
      </c>
      <c r="V39" s="36">
        <v>-3112</v>
      </c>
      <c r="W39" s="36">
        <v>-5033</v>
      </c>
      <c r="X39" s="36">
        <v>-10629</v>
      </c>
      <c r="Y39" s="36">
        <v>-13086</v>
      </c>
      <c r="Z39" s="61">
        <f>Y39</f>
        <v>-13086</v>
      </c>
      <c r="AA39" s="36">
        <v>-4044</v>
      </c>
      <c r="AB39" s="36">
        <v>-6817</v>
      </c>
      <c r="AC39" s="36">
        <v>-8098</v>
      </c>
      <c r="AD39" s="36">
        <v>-10630</v>
      </c>
      <c r="AE39" s="61">
        <f>AD39</f>
        <v>-10630</v>
      </c>
      <c r="AF39" s="36">
        <v>-2333</v>
      </c>
      <c r="AG39" s="36">
        <v>-9692</v>
      </c>
      <c r="AH39" s="36">
        <v>-11605</v>
      </c>
      <c r="AI39" s="36">
        <v>-17190</v>
      </c>
      <c r="AJ39" s="61">
        <f>AI39</f>
        <v>-17190</v>
      </c>
      <c r="AK39" s="36">
        <v>-1415</v>
      </c>
      <c r="AL39" s="36">
        <v>-12591</v>
      </c>
      <c r="AM39" s="36">
        <v>-15019</v>
      </c>
      <c r="AN39" s="36">
        <v>-15990</v>
      </c>
      <c r="AO39" s="61">
        <f>AN39</f>
        <v>-15990</v>
      </c>
      <c r="AP39" s="36">
        <v>-11861</v>
      </c>
      <c r="AQ39" s="36">
        <v>-15911</v>
      </c>
      <c r="AR39" s="36">
        <v>-26836</v>
      </c>
      <c r="AS39" s="36">
        <v>-33623</v>
      </c>
      <c r="AT39" s="61">
        <f>AS39</f>
        <v>-33623</v>
      </c>
      <c r="AU39" s="36">
        <v>-5488</v>
      </c>
      <c r="AV39" s="36">
        <v>-10209</v>
      </c>
      <c r="AW39" s="36">
        <v>-9780</v>
      </c>
      <c r="AX39" s="36">
        <v>-15227</v>
      </c>
      <c r="AY39" s="61">
        <f>AX39</f>
        <v>-15227</v>
      </c>
      <c r="AZ39" s="36">
        <v>-2223</v>
      </c>
      <c r="BA39" s="36">
        <v>-4002</v>
      </c>
      <c r="BB39" s="36">
        <v>-6030</v>
      </c>
      <c r="BC39" s="36">
        <v>-7992</v>
      </c>
      <c r="BD39" s="61">
        <f>BC39</f>
        <v>-7992</v>
      </c>
      <c r="BE39" s="36">
        <v>-1934</v>
      </c>
      <c r="BF39" s="36">
        <v>-6761</v>
      </c>
      <c r="BG39" s="36">
        <v>-6761</v>
      </c>
      <c r="BH39" s="36">
        <v>-6761</v>
      </c>
      <c r="BI39" s="61">
        <f>BH39</f>
        <v>-6761</v>
      </c>
      <c r="BJ39" s="36">
        <v>-255</v>
      </c>
      <c r="BK39" s="36">
        <v>-255</v>
      </c>
      <c r="BL39" s="36">
        <v>-255</v>
      </c>
      <c r="BM39" s="36">
        <v>-255</v>
      </c>
      <c r="BN39" s="61">
        <f>BM39</f>
        <v>-255</v>
      </c>
      <c r="BO39" s="36">
        <v>0</v>
      </c>
      <c r="BP39" s="36">
        <v>0</v>
      </c>
      <c r="BQ39" s="36">
        <v>-15</v>
      </c>
      <c r="BR39" s="36">
        <v>-15</v>
      </c>
      <c r="BS39" s="61">
        <f>BR39</f>
        <v>-15</v>
      </c>
      <c r="BT39" s="36">
        <v>0</v>
      </c>
      <c r="BU39" s="36">
        <v>0</v>
      </c>
      <c r="BV39" s="36">
        <v>0</v>
      </c>
      <c r="BW39" s="36">
        <v>0</v>
      </c>
      <c r="BX39" s="61">
        <f>BW39</f>
        <v>0</v>
      </c>
      <c r="BY39" s="36">
        <v>0</v>
      </c>
      <c r="BZ39" s="36">
        <v>0</v>
      </c>
      <c r="CA39" s="36">
        <v>0</v>
      </c>
      <c r="CB39" s="36">
        <v>0</v>
      </c>
      <c r="CC39" s="61">
        <f>CB39</f>
        <v>0</v>
      </c>
      <c r="CD39" s="36">
        <v>0</v>
      </c>
      <c r="CE39" s="36">
        <v>0</v>
      </c>
      <c r="CF39" s="36">
        <v>0</v>
      </c>
      <c r="CG39" s="36">
        <v>0</v>
      </c>
      <c r="CH39" s="61">
        <f>CG39</f>
        <v>0</v>
      </c>
      <c r="CI39" s="36">
        <v>0</v>
      </c>
      <c r="CJ39" s="36">
        <v>0</v>
      </c>
      <c r="CK39" s="36">
        <v>0</v>
      </c>
      <c r="CL39" s="36">
        <v>0</v>
      </c>
      <c r="CM39" s="61">
        <f>CL39</f>
        <v>0</v>
      </c>
      <c r="CN39" s="36">
        <v>0</v>
      </c>
      <c r="CO39" s="36">
        <v>0</v>
      </c>
      <c r="CP39" s="36"/>
      <c r="CQ39" s="36"/>
      <c r="CR39" s="61">
        <f>CQ39</f>
        <v>0</v>
      </c>
    </row>
    <row r="40" spans="1:96" ht="11.15" customHeight="1" x14ac:dyDescent="0.2">
      <c r="A40" s="21" t="s">
        <v>158</v>
      </c>
      <c r="B40" s="36">
        <v>0</v>
      </c>
      <c r="C40" s="36">
        <v>0</v>
      </c>
      <c r="D40" s="36">
        <v>0</v>
      </c>
      <c r="E40" s="36">
        <v>0</v>
      </c>
      <c r="F40" s="61">
        <f>E40</f>
        <v>0</v>
      </c>
      <c r="G40" s="36">
        <v>0</v>
      </c>
      <c r="H40" s="36">
        <v>0</v>
      </c>
      <c r="I40" s="36">
        <v>0</v>
      </c>
      <c r="J40" s="36">
        <v>-596</v>
      </c>
      <c r="K40" s="61">
        <f>J40</f>
        <v>-596</v>
      </c>
      <c r="L40" s="36">
        <v>0</v>
      </c>
      <c r="M40" s="36">
        <v>0</v>
      </c>
      <c r="N40" s="36">
        <v>-1220</v>
      </c>
      <c r="O40" s="36">
        <v>-1897</v>
      </c>
      <c r="P40" s="61">
        <f>O40</f>
        <v>-1897</v>
      </c>
      <c r="Q40" s="36">
        <v>-455</v>
      </c>
      <c r="R40" s="36">
        <v>-508</v>
      </c>
      <c r="S40" s="36">
        <v>-508</v>
      </c>
      <c r="T40" s="36">
        <v>-508</v>
      </c>
      <c r="U40" s="61">
        <f>T40</f>
        <v>-508</v>
      </c>
      <c r="V40" s="36">
        <v>0</v>
      </c>
      <c r="W40" s="36">
        <v>0</v>
      </c>
      <c r="X40" s="36">
        <v>0</v>
      </c>
      <c r="Y40" s="36">
        <f>-92+24806</f>
        <v>24714</v>
      </c>
      <c r="Z40" s="61">
        <f>Y40</f>
        <v>24714</v>
      </c>
      <c r="AA40" s="36">
        <v>0</v>
      </c>
      <c r="AB40" s="36">
        <v>19973</v>
      </c>
      <c r="AC40" s="36">
        <v>19973</v>
      </c>
      <c r="AD40" s="36">
        <v>19972</v>
      </c>
      <c r="AE40" s="61">
        <f>AD40</f>
        <v>19972</v>
      </c>
      <c r="AF40" s="36">
        <v>-700</v>
      </c>
      <c r="AG40" s="36">
        <f>-700-55400</f>
        <v>-56100</v>
      </c>
      <c r="AH40" s="36">
        <f>-700-55400</f>
        <v>-56100</v>
      </c>
      <c r="AI40" s="36">
        <f>-700-55400</f>
        <v>-56100</v>
      </c>
      <c r="AJ40" s="61">
        <f>AI40</f>
        <v>-56100</v>
      </c>
      <c r="AK40" s="36">
        <v>0</v>
      </c>
      <c r="AL40" s="36">
        <v>0</v>
      </c>
      <c r="AM40" s="36">
        <v>0</v>
      </c>
      <c r="AN40" s="36">
        <v>0</v>
      </c>
      <c r="AO40" s="61">
        <f>AN40</f>
        <v>0</v>
      </c>
      <c r="AP40" s="36">
        <v>0</v>
      </c>
      <c r="AQ40" s="36">
        <v>0</v>
      </c>
      <c r="AR40" s="36">
        <v>0</v>
      </c>
      <c r="AS40" s="36">
        <v>0</v>
      </c>
      <c r="AT40" s="61">
        <f>AS40</f>
        <v>0</v>
      </c>
      <c r="AU40" s="36">
        <v>0</v>
      </c>
      <c r="AV40" s="36">
        <v>0</v>
      </c>
      <c r="AW40" s="36">
        <v>0</v>
      </c>
      <c r="AX40" s="11">
        <v>0</v>
      </c>
      <c r="AY40" s="61">
        <f>AX40</f>
        <v>0</v>
      </c>
      <c r="AZ40" s="36">
        <v>0</v>
      </c>
      <c r="BA40" s="36">
        <v>-950</v>
      </c>
      <c r="BB40" s="36">
        <v>-950</v>
      </c>
      <c r="BC40" s="36">
        <v>-950</v>
      </c>
      <c r="BD40" s="61">
        <f>BC40</f>
        <v>-950</v>
      </c>
      <c r="BE40" s="36">
        <v>0</v>
      </c>
      <c r="BF40" s="36">
        <v>-197</v>
      </c>
      <c r="BG40" s="36">
        <v>-197</v>
      </c>
      <c r="BH40" s="36">
        <v>-197</v>
      </c>
      <c r="BI40" s="61">
        <f>BH40</f>
        <v>-197</v>
      </c>
      <c r="BJ40" s="36">
        <v>0</v>
      </c>
      <c r="BK40" s="36">
        <v>0</v>
      </c>
      <c r="BL40" s="36">
        <v>378</v>
      </c>
      <c r="BM40" s="36">
        <v>839</v>
      </c>
      <c r="BN40" s="61">
        <f>BM40</f>
        <v>839</v>
      </c>
      <c r="BO40" s="36">
        <v>0</v>
      </c>
      <c r="BP40" s="36">
        <v>0</v>
      </c>
      <c r="BQ40" s="36">
        <v>0</v>
      </c>
      <c r="BR40" s="36">
        <v>0</v>
      </c>
      <c r="BS40" s="61">
        <f>BR40</f>
        <v>0</v>
      </c>
      <c r="BT40" s="36">
        <v>0</v>
      </c>
      <c r="BU40" s="36">
        <v>0</v>
      </c>
      <c r="BV40" s="36">
        <v>0</v>
      </c>
      <c r="BW40" s="36">
        <v>0</v>
      </c>
      <c r="BX40" s="61">
        <f>BW40</f>
        <v>0</v>
      </c>
      <c r="BY40" s="36">
        <v>0</v>
      </c>
      <c r="BZ40" s="36">
        <v>0</v>
      </c>
      <c r="CA40" s="36">
        <v>0</v>
      </c>
      <c r="CB40" s="36">
        <v>0</v>
      </c>
      <c r="CC40" s="61">
        <f>CB40</f>
        <v>0</v>
      </c>
      <c r="CD40" s="36">
        <v>0</v>
      </c>
      <c r="CE40" s="36">
        <v>0</v>
      </c>
      <c r="CF40" s="36">
        <v>0</v>
      </c>
      <c r="CG40" s="36">
        <v>0</v>
      </c>
      <c r="CH40" s="61">
        <f>CG40</f>
        <v>0</v>
      </c>
      <c r="CI40" s="36">
        <v>0</v>
      </c>
      <c r="CJ40" s="36">
        <v>0</v>
      </c>
      <c r="CK40" s="36">
        <v>0</v>
      </c>
      <c r="CL40" s="36">
        <v>0</v>
      </c>
      <c r="CM40" s="61">
        <f>CL40</f>
        <v>0</v>
      </c>
      <c r="CN40" s="36">
        <v>0</v>
      </c>
      <c r="CO40" s="36">
        <v>0</v>
      </c>
      <c r="CP40" s="36"/>
      <c r="CQ40" s="36"/>
      <c r="CR40" s="61">
        <f>CQ40</f>
        <v>0</v>
      </c>
    </row>
    <row r="41" spans="1:96" ht="11.15" customHeight="1" x14ac:dyDescent="0.2">
      <c r="A41" s="21" t="s">
        <v>70</v>
      </c>
      <c r="B41" s="36">
        <v>0</v>
      </c>
      <c r="C41" s="36">
        <v>0</v>
      </c>
      <c r="D41" s="36">
        <v>6376</v>
      </c>
      <c r="E41" s="36">
        <v>6384</v>
      </c>
      <c r="F41" s="61">
        <f t="shared" si="59"/>
        <v>6384</v>
      </c>
      <c r="G41" s="36">
        <v>0</v>
      </c>
      <c r="H41" s="36">
        <v>0</v>
      </c>
      <c r="I41" s="36">
        <v>0</v>
      </c>
      <c r="J41" s="36">
        <v>0</v>
      </c>
      <c r="K41" s="61">
        <f t="shared" ref="K41:K43" si="78">J41</f>
        <v>0</v>
      </c>
      <c r="L41" s="36">
        <v>0</v>
      </c>
      <c r="M41" s="36">
        <v>20043</v>
      </c>
      <c r="N41" s="36">
        <v>20044</v>
      </c>
      <c r="O41" s="36">
        <v>20041</v>
      </c>
      <c r="P41" s="61">
        <f t="shared" si="61"/>
        <v>20041</v>
      </c>
      <c r="Q41" s="36">
        <v>0</v>
      </c>
      <c r="R41" s="36">
        <v>0</v>
      </c>
      <c r="S41" s="36">
        <v>0</v>
      </c>
      <c r="T41" s="36">
        <v>0</v>
      </c>
      <c r="U41" s="61">
        <f t="shared" si="62"/>
        <v>0</v>
      </c>
      <c r="V41" s="36">
        <v>0</v>
      </c>
      <c r="W41" s="36">
        <v>0</v>
      </c>
      <c r="X41" s="36">
        <v>0</v>
      </c>
      <c r="Y41" s="36">
        <v>0</v>
      </c>
      <c r="Z41" s="61">
        <f t="shared" si="63"/>
        <v>0</v>
      </c>
      <c r="AA41" s="36">
        <v>0</v>
      </c>
      <c r="AB41" s="36">
        <v>0</v>
      </c>
      <c r="AC41" s="36">
        <v>0</v>
      </c>
      <c r="AD41" s="36">
        <v>0</v>
      </c>
      <c r="AE41" s="61">
        <f t="shared" si="64"/>
        <v>0</v>
      </c>
      <c r="AF41" s="36">
        <v>0</v>
      </c>
      <c r="AG41" s="36">
        <v>0</v>
      </c>
      <c r="AH41" s="36">
        <v>0</v>
      </c>
      <c r="AI41" s="36">
        <v>0</v>
      </c>
      <c r="AJ41" s="61">
        <f t="shared" si="65"/>
        <v>0</v>
      </c>
      <c r="AK41" s="36">
        <v>0</v>
      </c>
      <c r="AL41" s="36">
        <v>0</v>
      </c>
      <c r="AM41" s="36">
        <v>0</v>
      </c>
      <c r="AN41" s="36">
        <v>0</v>
      </c>
      <c r="AO41" s="61">
        <f t="shared" si="66"/>
        <v>0</v>
      </c>
      <c r="AP41" s="36">
        <v>0</v>
      </c>
      <c r="AQ41" s="36">
        <v>0</v>
      </c>
      <c r="AR41" s="36">
        <v>0</v>
      </c>
      <c r="AS41" s="36">
        <v>0</v>
      </c>
      <c r="AT41" s="61">
        <f t="shared" si="67"/>
        <v>0</v>
      </c>
      <c r="AU41" s="36">
        <v>0</v>
      </c>
      <c r="AV41" s="36">
        <v>0</v>
      </c>
      <c r="AW41" s="36">
        <v>0</v>
      </c>
      <c r="AX41" s="11">
        <v>0</v>
      </c>
      <c r="AY41" s="61">
        <f t="shared" si="68"/>
        <v>0</v>
      </c>
      <c r="AZ41" s="36">
        <v>0</v>
      </c>
      <c r="BA41" s="36">
        <v>23750</v>
      </c>
      <c r="BB41" s="36">
        <v>23750</v>
      </c>
      <c r="BC41" s="36">
        <v>23750</v>
      </c>
      <c r="BD41" s="61">
        <f t="shared" ref="BD41:BD43" si="79">BC41</f>
        <v>23750</v>
      </c>
      <c r="BE41" s="36">
        <v>0</v>
      </c>
      <c r="BF41" s="36"/>
      <c r="BG41" s="36">
        <v>28000</v>
      </c>
      <c r="BH41" s="36">
        <v>28000</v>
      </c>
      <c r="BI41" s="61">
        <f t="shared" ref="BI41:BI43" si="80">BH41</f>
        <v>28000</v>
      </c>
      <c r="BJ41" s="36">
        <v>0</v>
      </c>
      <c r="BK41" s="36">
        <v>0</v>
      </c>
      <c r="BL41" s="36">
        <v>0</v>
      </c>
      <c r="BM41" s="36">
        <v>0</v>
      </c>
      <c r="BN41" s="61">
        <f t="shared" ref="BN41:BN43" si="81">BM41</f>
        <v>0</v>
      </c>
      <c r="BO41" s="36">
        <v>0</v>
      </c>
      <c r="BP41" s="36">
        <v>0</v>
      </c>
      <c r="BQ41" s="36">
        <v>0</v>
      </c>
      <c r="BR41" s="36">
        <v>0</v>
      </c>
      <c r="BS41" s="61">
        <f t="shared" ref="BS41:BS43" si="82">BR41</f>
        <v>0</v>
      </c>
      <c r="BT41" s="36">
        <v>0</v>
      </c>
      <c r="BU41" s="36">
        <v>0</v>
      </c>
      <c r="BV41" s="36">
        <v>0</v>
      </c>
      <c r="BW41" s="36">
        <v>0</v>
      </c>
      <c r="BX41" s="61">
        <f t="shared" ref="BX41:BX43" si="83">BW41</f>
        <v>0</v>
      </c>
      <c r="BY41" s="36">
        <v>0</v>
      </c>
      <c r="BZ41" s="36">
        <v>0</v>
      </c>
      <c r="CA41" s="36">
        <v>0</v>
      </c>
      <c r="CB41" s="36">
        <v>0</v>
      </c>
      <c r="CC41" s="61">
        <f t="shared" ref="CC41:CC43" si="84">CB41</f>
        <v>0</v>
      </c>
      <c r="CD41" s="36">
        <v>0</v>
      </c>
      <c r="CE41" s="36">
        <v>0</v>
      </c>
      <c r="CF41" s="36">
        <v>0</v>
      </c>
      <c r="CG41" s="36">
        <v>0</v>
      </c>
      <c r="CH41" s="61">
        <f t="shared" ref="CH41:CH43" si="85">CG41</f>
        <v>0</v>
      </c>
      <c r="CI41" s="36">
        <v>0</v>
      </c>
      <c r="CJ41" s="36">
        <v>0</v>
      </c>
      <c r="CK41" s="36">
        <v>0</v>
      </c>
      <c r="CL41" s="36">
        <v>0</v>
      </c>
      <c r="CM41" s="61">
        <f t="shared" ref="CM41" si="86">CL41</f>
        <v>0</v>
      </c>
      <c r="CN41" s="36">
        <v>0</v>
      </c>
      <c r="CO41" s="36">
        <v>0</v>
      </c>
      <c r="CP41" s="36"/>
      <c r="CQ41" s="36"/>
      <c r="CR41" s="61">
        <f t="shared" ref="CR41:CR43" si="87">CQ41</f>
        <v>0</v>
      </c>
    </row>
    <row r="42" spans="1:96" ht="11.15" customHeight="1" x14ac:dyDescent="0.2">
      <c r="A42" s="21" t="s">
        <v>71</v>
      </c>
      <c r="B42" s="36">
        <v>-2142</v>
      </c>
      <c r="C42" s="36">
        <v>-2688</v>
      </c>
      <c r="D42" s="36">
        <v>-5228</v>
      </c>
      <c r="E42" s="36">
        <v>-10684</v>
      </c>
      <c r="F42" s="61">
        <f t="shared" si="59"/>
        <v>-10684</v>
      </c>
      <c r="G42" s="36">
        <v>-18177</v>
      </c>
      <c r="H42" s="36">
        <v>-18177</v>
      </c>
      <c r="I42" s="36">
        <v>-18177</v>
      </c>
      <c r="J42" s="36">
        <v>-18177</v>
      </c>
      <c r="K42" s="61">
        <f t="shared" si="78"/>
        <v>-18177</v>
      </c>
      <c r="L42" s="36">
        <v>0</v>
      </c>
      <c r="M42" s="36">
        <v>-19499</v>
      </c>
      <c r="N42" s="36">
        <v>-19855</v>
      </c>
      <c r="O42" s="36">
        <v>-20196</v>
      </c>
      <c r="P42" s="61">
        <f t="shared" si="61"/>
        <v>-20196</v>
      </c>
      <c r="Q42" s="36">
        <v>-344</v>
      </c>
      <c r="R42" s="36">
        <v>-677</v>
      </c>
      <c r="S42" s="36">
        <v>-1011</v>
      </c>
      <c r="T42" s="36">
        <v>-1344</v>
      </c>
      <c r="U42" s="61">
        <f t="shared" si="62"/>
        <v>-1344</v>
      </c>
      <c r="V42" s="36">
        <v>-333</v>
      </c>
      <c r="W42" s="36">
        <v>-667</v>
      </c>
      <c r="X42" s="36">
        <v>-1000</v>
      </c>
      <c r="Y42" s="36">
        <v>-1333</v>
      </c>
      <c r="Z42" s="61">
        <f t="shared" si="63"/>
        <v>-1333</v>
      </c>
      <c r="AA42" s="36">
        <v>-333</v>
      </c>
      <c r="AB42" s="36">
        <v>-666</v>
      </c>
      <c r="AC42" s="36">
        <v>-1046</v>
      </c>
      <c r="AD42" s="36">
        <v>-1432</v>
      </c>
      <c r="AE42" s="61">
        <f t="shared" si="64"/>
        <v>-1432</v>
      </c>
      <c r="AF42" s="36">
        <v>-360</v>
      </c>
      <c r="AG42" s="36">
        <v>-1476</v>
      </c>
      <c r="AH42" s="36">
        <v>-1848</v>
      </c>
      <c r="AI42" s="36">
        <v>-2117</v>
      </c>
      <c r="AJ42" s="61">
        <f t="shared" si="65"/>
        <v>-2117</v>
      </c>
      <c r="AK42" s="36">
        <v>-1640</v>
      </c>
      <c r="AL42" s="36">
        <v>-2186</v>
      </c>
      <c r="AM42" s="36">
        <v>-2519</v>
      </c>
      <c r="AN42" s="36">
        <v>-2853</v>
      </c>
      <c r="AO42" s="61">
        <f t="shared" si="66"/>
        <v>-2853</v>
      </c>
      <c r="AP42" s="36">
        <v>-333</v>
      </c>
      <c r="AQ42" s="36">
        <v>-667</v>
      </c>
      <c r="AR42" s="36">
        <v>-1000</v>
      </c>
      <c r="AS42" s="36">
        <v>-1667</v>
      </c>
      <c r="AT42" s="61">
        <f t="shared" si="67"/>
        <v>-1667</v>
      </c>
      <c r="AU42" s="36">
        <v>-833</v>
      </c>
      <c r="AV42" s="36">
        <v>-12333</v>
      </c>
      <c r="AW42" s="36">
        <v>-12833</v>
      </c>
      <c r="AX42" s="36">
        <v>-13333</v>
      </c>
      <c r="AY42" s="61">
        <f t="shared" si="68"/>
        <v>-13333</v>
      </c>
      <c r="AZ42" s="36">
        <v>-500</v>
      </c>
      <c r="BA42" s="36">
        <v>-1000</v>
      </c>
      <c r="BB42" s="36">
        <v>-1797</v>
      </c>
      <c r="BC42" s="36">
        <v>-2594</v>
      </c>
      <c r="BD42" s="61">
        <f t="shared" si="79"/>
        <v>-2594</v>
      </c>
      <c r="BE42" s="36">
        <v>-797</v>
      </c>
      <c r="BF42" s="36">
        <v>-18260</v>
      </c>
      <c r="BG42" s="36">
        <v>-18951</v>
      </c>
      <c r="BH42" s="36">
        <v>-19842</v>
      </c>
      <c r="BI42" s="61">
        <f t="shared" si="80"/>
        <v>-19842</v>
      </c>
      <c r="BJ42" s="36">
        <v>-895</v>
      </c>
      <c r="BK42" s="36">
        <v>-1794</v>
      </c>
      <c r="BL42" s="36">
        <v>-2696</v>
      </c>
      <c r="BM42" s="36">
        <v>-3604</v>
      </c>
      <c r="BN42" s="61">
        <f t="shared" si="81"/>
        <v>-3604</v>
      </c>
      <c r="BO42" s="36">
        <v>-911</v>
      </c>
      <c r="BP42" s="36">
        <v>-1827</v>
      </c>
      <c r="BQ42" s="36">
        <v>-2747</v>
      </c>
      <c r="BR42" s="36">
        <v>-3671</v>
      </c>
      <c r="BS42" s="61">
        <f t="shared" si="82"/>
        <v>-3671</v>
      </c>
      <c r="BT42" s="36">
        <v>-928</v>
      </c>
      <c r="BU42" s="36">
        <v>-1862</v>
      </c>
      <c r="BV42" s="36">
        <v>-2798</v>
      </c>
      <c r="BW42" s="36">
        <v>-3740</v>
      </c>
      <c r="BX42" s="61">
        <f t="shared" si="83"/>
        <v>-3740</v>
      </c>
      <c r="BY42" s="36">
        <v>-946</v>
      </c>
      <c r="BZ42" s="36">
        <v>-1896</v>
      </c>
      <c r="CA42" s="36">
        <v>-2851</v>
      </c>
      <c r="CB42" s="36">
        <v>-3810</v>
      </c>
      <c r="CC42" s="61">
        <f t="shared" si="84"/>
        <v>-3810</v>
      </c>
      <c r="CD42" s="36">
        <v>-964</v>
      </c>
      <c r="CE42" s="36">
        <v>-1932</v>
      </c>
      <c r="CF42" s="36">
        <v>-17829</v>
      </c>
      <c r="CG42" s="36">
        <v>-18126</v>
      </c>
      <c r="CH42" s="61">
        <f t="shared" si="85"/>
        <v>-18126</v>
      </c>
      <c r="CI42" s="36">
        <v>-298</v>
      </c>
      <c r="CJ42" s="36">
        <v>-16031</v>
      </c>
      <c r="CK42" s="36">
        <v>-16031</v>
      </c>
      <c r="CL42" s="36">
        <v>-16031</v>
      </c>
      <c r="CM42" s="61">
        <f>CL42</f>
        <v>-16031</v>
      </c>
      <c r="CN42" s="36">
        <v>0</v>
      </c>
      <c r="CO42" s="36">
        <v>0</v>
      </c>
      <c r="CP42" s="36"/>
      <c r="CQ42" s="36"/>
      <c r="CR42" s="61">
        <f t="shared" si="87"/>
        <v>0</v>
      </c>
    </row>
    <row r="43" spans="1:96" ht="11.15" customHeight="1" x14ac:dyDescent="0.2">
      <c r="A43" s="21" t="s">
        <v>72</v>
      </c>
      <c r="B43" s="36">
        <v>545</v>
      </c>
      <c r="C43" s="36">
        <v>905</v>
      </c>
      <c r="D43" s="36">
        <v>1033</v>
      </c>
      <c r="E43" s="36">
        <v>1274</v>
      </c>
      <c r="F43" s="61">
        <f t="shared" si="59"/>
        <v>1274</v>
      </c>
      <c r="G43" s="36">
        <v>23</v>
      </c>
      <c r="H43" s="36">
        <v>851</v>
      </c>
      <c r="I43" s="36">
        <v>1692</v>
      </c>
      <c r="J43" s="36">
        <v>3060</v>
      </c>
      <c r="K43" s="61">
        <f t="shared" si="78"/>
        <v>3060</v>
      </c>
      <c r="L43" s="36">
        <v>310</v>
      </c>
      <c r="M43" s="36">
        <v>1365</v>
      </c>
      <c r="N43" s="36">
        <v>2359</v>
      </c>
      <c r="O43" s="36">
        <v>4959</v>
      </c>
      <c r="P43" s="61">
        <f t="shared" si="61"/>
        <v>4959</v>
      </c>
      <c r="Q43" s="36">
        <v>137</v>
      </c>
      <c r="R43" s="36">
        <v>477</v>
      </c>
      <c r="S43" s="36">
        <v>2121</v>
      </c>
      <c r="T43" s="36">
        <v>3417</v>
      </c>
      <c r="U43" s="61">
        <f t="shared" si="62"/>
        <v>3417</v>
      </c>
      <c r="V43" s="36">
        <v>211</v>
      </c>
      <c r="W43" s="36">
        <v>1266</v>
      </c>
      <c r="X43" s="36">
        <v>6714</v>
      </c>
      <c r="Y43" s="36">
        <v>6298</v>
      </c>
      <c r="Z43" s="61">
        <f t="shared" si="63"/>
        <v>6298</v>
      </c>
      <c r="AA43" s="36">
        <v>4884</v>
      </c>
      <c r="AB43" s="36">
        <v>3989</v>
      </c>
      <c r="AC43" s="36">
        <v>4491</v>
      </c>
      <c r="AD43" s="36">
        <v>5268</v>
      </c>
      <c r="AE43" s="61">
        <f t="shared" si="64"/>
        <v>5268</v>
      </c>
      <c r="AF43" s="36">
        <v>749</v>
      </c>
      <c r="AG43" s="36">
        <v>2249</v>
      </c>
      <c r="AH43" s="36">
        <v>4275</v>
      </c>
      <c r="AI43" s="36">
        <v>5480</v>
      </c>
      <c r="AJ43" s="61">
        <f t="shared" si="65"/>
        <v>5480</v>
      </c>
      <c r="AK43" s="36">
        <v>720</v>
      </c>
      <c r="AL43" s="36">
        <v>2177</v>
      </c>
      <c r="AM43" s="36">
        <v>3228</v>
      </c>
      <c r="AN43" s="36">
        <v>7275</v>
      </c>
      <c r="AO43" s="61">
        <f t="shared" si="66"/>
        <v>7275</v>
      </c>
      <c r="AP43" s="36">
        <v>611</v>
      </c>
      <c r="AQ43" s="36">
        <v>3379</v>
      </c>
      <c r="AR43" s="36">
        <v>3730</v>
      </c>
      <c r="AS43" s="36">
        <v>7558</v>
      </c>
      <c r="AT43" s="61">
        <f t="shared" si="67"/>
        <v>7558</v>
      </c>
      <c r="AU43" s="36">
        <v>4409</v>
      </c>
      <c r="AV43" s="36">
        <v>9574</v>
      </c>
      <c r="AW43" s="36">
        <v>10489</v>
      </c>
      <c r="AX43" s="36">
        <v>14132</v>
      </c>
      <c r="AY43" s="61">
        <f t="shared" si="68"/>
        <v>14132</v>
      </c>
      <c r="AZ43" s="36">
        <v>2644</v>
      </c>
      <c r="BA43" s="36">
        <v>8579</v>
      </c>
      <c r="BB43" s="36">
        <v>9186</v>
      </c>
      <c r="BC43" s="36">
        <v>16183</v>
      </c>
      <c r="BD43" s="61">
        <f t="shared" si="79"/>
        <v>16183</v>
      </c>
      <c r="BE43" s="36">
        <v>9600</v>
      </c>
      <c r="BF43" s="36">
        <v>17152</v>
      </c>
      <c r="BG43" s="36">
        <v>23296</v>
      </c>
      <c r="BH43" s="36">
        <v>28654</v>
      </c>
      <c r="BI43" s="61">
        <f t="shared" si="80"/>
        <v>28654</v>
      </c>
      <c r="BJ43" s="36">
        <v>3113</v>
      </c>
      <c r="BK43" s="36">
        <v>10631</v>
      </c>
      <c r="BL43" s="36">
        <v>12115</v>
      </c>
      <c r="BM43" s="36">
        <v>12183</v>
      </c>
      <c r="BN43" s="61">
        <f t="shared" si="81"/>
        <v>12183</v>
      </c>
      <c r="BO43" s="36">
        <v>-6149</v>
      </c>
      <c r="BP43" s="36">
        <v>-32</v>
      </c>
      <c r="BQ43" s="36">
        <v>1644</v>
      </c>
      <c r="BR43" s="36">
        <v>7336</v>
      </c>
      <c r="BS43" s="61">
        <f t="shared" si="82"/>
        <v>7336</v>
      </c>
      <c r="BT43" s="36">
        <v>-5498</v>
      </c>
      <c r="BU43" s="36">
        <v>8271</v>
      </c>
      <c r="BV43" s="36">
        <v>16767</v>
      </c>
      <c r="BW43" s="36">
        <v>33194</v>
      </c>
      <c r="BX43" s="61">
        <f t="shared" si="83"/>
        <v>33194</v>
      </c>
      <c r="BY43" s="36">
        <v>4981</v>
      </c>
      <c r="BZ43" s="36">
        <v>10567</v>
      </c>
      <c r="CA43" s="36">
        <v>11427</v>
      </c>
      <c r="CB43" s="36">
        <v>16258</v>
      </c>
      <c r="CC43" s="61">
        <f t="shared" si="84"/>
        <v>16258</v>
      </c>
      <c r="CD43" s="36">
        <v>-724</v>
      </c>
      <c r="CE43" s="36">
        <v>2088</v>
      </c>
      <c r="CF43" s="36">
        <v>2353</v>
      </c>
      <c r="CG43" s="36">
        <v>5583</v>
      </c>
      <c r="CH43" s="61">
        <f t="shared" si="85"/>
        <v>5583</v>
      </c>
      <c r="CI43" s="36">
        <v>-3844</v>
      </c>
      <c r="CJ43" s="36">
        <v>-731</v>
      </c>
      <c r="CK43" s="36">
        <v>-432</v>
      </c>
      <c r="CL43" s="36">
        <v>3147</v>
      </c>
      <c r="CM43" s="61">
        <f>CL43</f>
        <v>3147</v>
      </c>
      <c r="CN43" s="36">
        <v>-1158</v>
      </c>
      <c r="CO43" s="36">
        <v>1792</v>
      </c>
      <c r="CP43" s="36"/>
      <c r="CQ43" s="36"/>
      <c r="CR43" s="61">
        <f t="shared" si="87"/>
        <v>0</v>
      </c>
    </row>
    <row r="44" spans="1:96" ht="11.15" customHeight="1" x14ac:dyDescent="0.2">
      <c r="A44" s="21" t="s">
        <v>89</v>
      </c>
      <c r="B44" s="36">
        <v>0</v>
      </c>
      <c r="C44" s="36">
        <v>0</v>
      </c>
      <c r="D44" s="36">
        <v>0</v>
      </c>
      <c r="E44" s="36">
        <v>0</v>
      </c>
      <c r="F44" s="61">
        <f>E44</f>
        <v>0</v>
      </c>
      <c r="G44" s="36">
        <v>0</v>
      </c>
      <c r="H44" s="36">
        <v>0</v>
      </c>
      <c r="I44" s="36">
        <v>0</v>
      </c>
      <c r="J44" s="36">
        <v>0</v>
      </c>
      <c r="K44" s="61">
        <f>J44</f>
        <v>0</v>
      </c>
      <c r="L44" s="36">
        <v>0</v>
      </c>
      <c r="M44" s="36">
        <v>0</v>
      </c>
      <c r="N44" s="36">
        <v>0</v>
      </c>
      <c r="O44" s="36">
        <v>0</v>
      </c>
      <c r="P44" s="61">
        <f>O44</f>
        <v>0</v>
      </c>
      <c r="Q44" s="36">
        <v>0</v>
      </c>
      <c r="R44" s="36">
        <v>0</v>
      </c>
      <c r="S44" s="36">
        <v>0</v>
      </c>
      <c r="T44" s="36">
        <v>0</v>
      </c>
      <c r="U44" s="61">
        <f>T44</f>
        <v>0</v>
      </c>
      <c r="V44" s="36">
        <v>0</v>
      </c>
      <c r="W44" s="36">
        <v>0</v>
      </c>
      <c r="X44" s="36">
        <v>0</v>
      </c>
      <c r="Y44" s="36">
        <v>0</v>
      </c>
      <c r="Z44" s="61">
        <f>Y44</f>
        <v>0</v>
      </c>
      <c r="AA44" s="36">
        <v>0</v>
      </c>
      <c r="AB44" s="36">
        <v>0</v>
      </c>
      <c r="AC44" s="36">
        <v>0</v>
      </c>
      <c r="AD44" s="36">
        <v>0</v>
      </c>
      <c r="AE44" s="61">
        <f>AD44</f>
        <v>0</v>
      </c>
      <c r="AF44" s="36">
        <v>0</v>
      </c>
      <c r="AG44" s="36">
        <v>0</v>
      </c>
      <c r="AH44" s="36">
        <v>0</v>
      </c>
      <c r="AI44" s="36">
        <v>0</v>
      </c>
      <c r="AJ44" s="61">
        <f>AI44</f>
        <v>0</v>
      </c>
      <c r="AK44" s="36">
        <v>0</v>
      </c>
      <c r="AL44" s="36">
        <v>0</v>
      </c>
      <c r="AM44" s="36">
        <v>0</v>
      </c>
      <c r="AN44" s="36">
        <v>0</v>
      </c>
      <c r="AO44" s="61">
        <f>AN44</f>
        <v>0</v>
      </c>
      <c r="AP44" s="36">
        <v>0</v>
      </c>
      <c r="AQ44" s="36">
        <v>0</v>
      </c>
      <c r="AR44" s="36">
        <v>0</v>
      </c>
      <c r="AS44" s="36">
        <v>0</v>
      </c>
      <c r="AT44" s="61">
        <f>AS44</f>
        <v>0</v>
      </c>
      <c r="AU44" s="36">
        <v>0</v>
      </c>
      <c r="AV44" s="36">
        <v>0</v>
      </c>
      <c r="AW44" s="36">
        <v>0</v>
      </c>
      <c r="AX44" s="36">
        <v>0</v>
      </c>
      <c r="AY44" s="61">
        <f>AX44</f>
        <v>0</v>
      </c>
      <c r="AZ44" s="36">
        <v>0</v>
      </c>
      <c r="BA44" s="36">
        <v>0</v>
      </c>
      <c r="BB44" s="36">
        <v>-3483</v>
      </c>
      <c r="BC44" s="36">
        <v>-8946</v>
      </c>
      <c r="BD44" s="61">
        <f>BC44</f>
        <v>-8946</v>
      </c>
      <c r="BE44" s="36">
        <v>-12539</v>
      </c>
      <c r="BF44" s="36">
        <v>-24112</v>
      </c>
      <c r="BG44" s="36">
        <v>-26911</v>
      </c>
      <c r="BH44" s="36">
        <v>-39987</v>
      </c>
      <c r="BI44" s="61">
        <f>BH44</f>
        <v>-39987</v>
      </c>
      <c r="BJ44" s="36">
        <v>-20071</v>
      </c>
      <c r="BK44" s="36">
        <v>-51064</v>
      </c>
      <c r="BL44" s="36">
        <v>-111926</v>
      </c>
      <c r="BM44" s="36">
        <v>-176065</v>
      </c>
      <c r="BN44" s="61">
        <f>BM44</f>
        <v>-176065</v>
      </c>
      <c r="BO44" s="36">
        <v>0</v>
      </c>
      <c r="BP44" s="36">
        <v>-2284</v>
      </c>
      <c r="BQ44" s="36">
        <v>-25921</v>
      </c>
      <c r="BR44" s="36">
        <v>-40732</v>
      </c>
      <c r="BS44" s="61">
        <f>BR44</f>
        <v>-40732</v>
      </c>
      <c r="BT44" s="36">
        <v>-12716</v>
      </c>
      <c r="BU44" s="36">
        <v>-28230</v>
      </c>
      <c r="BV44" s="36">
        <v>-37884</v>
      </c>
      <c r="BW44" s="36">
        <v>-37884</v>
      </c>
      <c r="BX44" s="61">
        <f>BW44</f>
        <v>-37884</v>
      </c>
      <c r="BY44" s="36">
        <v>-3048</v>
      </c>
      <c r="BZ44" s="36">
        <v>-41731</v>
      </c>
      <c r="CA44" s="36">
        <v>-78071</v>
      </c>
      <c r="CB44" s="36">
        <v>-134889</v>
      </c>
      <c r="CC44" s="61">
        <f>CB44</f>
        <v>-134889</v>
      </c>
      <c r="CD44" s="36">
        <v>-78757</v>
      </c>
      <c r="CE44" s="36">
        <v>-311606</v>
      </c>
      <c r="CF44" s="36">
        <v>-382885</v>
      </c>
      <c r="CG44" s="36">
        <v>-499506</v>
      </c>
      <c r="CH44" s="61">
        <f>CG44</f>
        <v>-499506</v>
      </c>
      <c r="CI44" s="36">
        <v>-113094</v>
      </c>
      <c r="CJ44" s="36">
        <v>-113031</v>
      </c>
      <c r="CK44" s="36">
        <v>-159528</v>
      </c>
      <c r="CL44" s="36">
        <v>-223496</v>
      </c>
      <c r="CM44" s="61">
        <f>CL44</f>
        <v>-223496</v>
      </c>
      <c r="CN44" s="36">
        <v>-89616</v>
      </c>
      <c r="CO44" s="36">
        <v>-212020</v>
      </c>
      <c r="CP44" s="36"/>
      <c r="CQ44" s="36"/>
      <c r="CR44" s="61">
        <f>CQ44</f>
        <v>0</v>
      </c>
    </row>
    <row r="45" spans="1:96" ht="11.15" customHeight="1" x14ac:dyDescent="0.2">
      <c r="A45" s="21" t="s">
        <v>225</v>
      </c>
      <c r="B45" s="36"/>
      <c r="C45" s="36"/>
      <c r="D45" s="36"/>
      <c r="E45" s="36"/>
      <c r="F45" s="61"/>
      <c r="G45" s="36"/>
      <c r="H45" s="36"/>
      <c r="I45" s="36"/>
      <c r="J45" s="36"/>
      <c r="K45" s="61"/>
      <c r="L45" s="36"/>
      <c r="M45" s="36"/>
      <c r="N45" s="36"/>
      <c r="O45" s="36"/>
      <c r="P45" s="61"/>
      <c r="Q45" s="36"/>
      <c r="R45" s="36"/>
      <c r="S45" s="36"/>
      <c r="T45" s="36"/>
      <c r="U45" s="61"/>
      <c r="V45" s="36"/>
      <c r="W45" s="36"/>
      <c r="X45" s="36"/>
      <c r="Y45" s="36"/>
      <c r="Z45" s="61"/>
      <c r="AA45" s="36"/>
      <c r="AB45" s="36"/>
      <c r="AC45" s="36"/>
      <c r="AD45" s="36"/>
      <c r="AE45" s="61"/>
      <c r="AF45" s="36"/>
      <c r="AG45" s="36"/>
      <c r="AH45" s="36"/>
      <c r="AI45" s="36"/>
      <c r="AJ45" s="61"/>
      <c r="AK45" s="36"/>
      <c r="AL45" s="36"/>
      <c r="AM45" s="36"/>
      <c r="AN45" s="36"/>
      <c r="AO45" s="61"/>
      <c r="AP45" s="36"/>
      <c r="AQ45" s="36"/>
      <c r="AR45" s="36"/>
      <c r="AS45" s="36"/>
      <c r="AT45" s="61"/>
      <c r="AU45" s="36"/>
      <c r="AV45" s="36"/>
      <c r="AW45" s="36"/>
      <c r="AX45" s="36"/>
      <c r="AY45" s="61"/>
      <c r="AZ45" s="36"/>
      <c r="BA45" s="36"/>
      <c r="BB45" s="36"/>
      <c r="BC45" s="36"/>
      <c r="BD45" s="61"/>
      <c r="BE45" s="36"/>
      <c r="BF45" s="36"/>
      <c r="BG45" s="36"/>
      <c r="BH45" s="36"/>
      <c r="BI45" s="61"/>
      <c r="BJ45" s="36"/>
      <c r="BK45" s="36"/>
      <c r="BL45" s="36"/>
      <c r="BM45" s="36"/>
      <c r="BN45" s="61"/>
      <c r="BO45" s="36"/>
      <c r="BP45" s="36"/>
      <c r="BQ45" s="36"/>
      <c r="BR45" s="36"/>
      <c r="BS45" s="61"/>
      <c r="BT45" s="36"/>
      <c r="BU45" s="36"/>
      <c r="BV45" s="36"/>
      <c r="BW45" s="36"/>
      <c r="BX45" s="61"/>
      <c r="BY45" s="36">
        <v>0</v>
      </c>
      <c r="BZ45" s="36">
        <v>0</v>
      </c>
      <c r="CA45" s="36">
        <v>0</v>
      </c>
      <c r="CB45" s="36">
        <v>0</v>
      </c>
      <c r="CC45" s="61">
        <f>CB45</f>
        <v>0</v>
      </c>
      <c r="CD45" s="36">
        <v>0</v>
      </c>
      <c r="CE45" s="36">
        <v>0</v>
      </c>
      <c r="CF45" s="36">
        <v>-2500</v>
      </c>
      <c r="CG45" s="36">
        <v>-2500</v>
      </c>
      <c r="CH45" s="61">
        <f>CG45</f>
        <v>-2500</v>
      </c>
      <c r="CI45" s="36">
        <v>0</v>
      </c>
      <c r="CJ45" s="36">
        <v>0</v>
      </c>
      <c r="CK45" s="36">
        <v>0</v>
      </c>
      <c r="CL45" s="36">
        <v>0</v>
      </c>
      <c r="CM45" s="61">
        <f>CL45</f>
        <v>0</v>
      </c>
      <c r="CN45" s="36">
        <v>0</v>
      </c>
      <c r="CO45" s="36">
        <v>0</v>
      </c>
      <c r="CP45" s="36"/>
      <c r="CQ45" s="36"/>
      <c r="CR45" s="61">
        <f>CQ45</f>
        <v>0</v>
      </c>
    </row>
    <row r="46" spans="1:96" ht="11.15" customHeight="1" x14ac:dyDescent="0.2">
      <c r="A46" s="21" t="s">
        <v>79</v>
      </c>
      <c r="B46" s="36">
        <v>0</v>
      </c>
      <c r="C46" s="36">
        <v>0</v>
      </c>
      <c r="D46" s="36">
        <v>0</v>
      </c>
      <c r="E46" s="36">
        <v>93169</v>
      </c>
      <c r="F46" s="61">
        <f t="shared" si="59"/>
        <v>93169</v>
      </c>
      <c r="G46" s="36">
        <v>0</v>
      </c>
      <c r="H46" s="36">
        <v>0</v>
      </c>
      <c r="I46" s="36">
        <v>0</v>
      </c>
      <c r="J46" s="36">
        <v>0</v>
      </c>
      <c r="K46" s="61">
        <f t="shared" ref="K46:K49" si="88">J46</f>
        <v>0</v>
      </c>
      <c r="L46" s="36">
        <v>0</v>
      </c>
      <c r="M46" s="36">
        <v>0</v>
      </c>
      <c r="N46" s="36">
        <v>0</v>
      </c>
      <c r="O46" s="36">
        <v>0</v>
      </c>
      <c r="P46" s="61">
        <f t="shared" si="61"/>
        <v>0</v>
      </c>
      <c r="Q46" s="36">
        <v>0</v>
      </c>
      <c r="R46" s="36">
        <v>0</v>
      </c>
      <c r="S46" s="36">
        <v>0</v>
      </c>
      <c r="T46" s="36">
        <v>0</v>
      </c>
      <c r="U46" s="61">
        <f t="shared" si="62"/>
        <v>0</v>
      </c>
      <c r="V46" s="36">
        <v>0</v>
      </c>
      <c r="W46" s="36">
        <v>0</v>
      </c>
      <c r="X46" s="36">
        <v>0</v>
      </c>
      <c r="Y46" s="36">
        <v>0</v>
      </c>
      <c r="Z46" s="61">
        <f t="shared" si="63"/>
        <v>0</v>
      </c>
      <c r="AA46" s="36">
        <v>0</v>
      </c>
      <c r="AB46" s="36">
        <v>0</v>
      </c>
      <c r="AC46" s="36">
        <v>0</v>
      </c>
      <c r="AD46" s="36">
        <v>0</v>
      </c>
      <c r="AE46" s="61">
        <f t="shared" si="64"/>
        <v>0</v>
      </c>
      <c r="AF46" s="36">
        <v>168268</v>
      </c>
      <c r="AG46" s="36">
        <v>168022</v>
      </c>
      <c r="AH46" s="36">
        <v>167963</v>
      </c>
      <c r="AI46" s="36">
        <v>167928</v>
      </c>
      <c r="AJ46" s="61">
        <f t="shared" si="65"/>
        <v>167928</v>
      </c>
      <c r="AK46" s="36">
        <v>0</v>
      </c>
      <c r="AL46" s="36">
        <v>0</v>
      </c>
      <c r="AM46" s="36">
        <v>0</v>
      </c>
      <c r="AN46" s="36">
        <v>0</v>
      </c>
      <c r="AO46" s="61">
        <f t="shared" si="66"/>
        <v>0</v>
      </c>
      <c r="AP46" s="36">
        <v>0</v>
      </c>
      <c r="AQ46" s="36">
        <v>0</v>
      </c>
      <c r="AR46" s="36">
        <v>0</v>
      </c>
      <c r="AS46" s="36">
        <v>0</v>
      </c>
      <c r="AT46" s="61">
        <f t="shared" si="67"/>
        <v>0</v>
      </c>
      <c r="AU46" s="36">
        <v>0</v>
      </c>
      <c r="AV46" s="36">
        <v>0</v>
      </c>
      <c r="AW46" s="36">
        <v>0</v>
      </c>
      <c r="AX46" s="36">
        <v>0</v>
      </c>
      <c r="AY46" s="61">
        <f t="shared" si="68"/>
        <v>0</v>
      </c>
      <c r="AZ46" s="36">
        <v>0</v>
      </c>
      <c r="BA46" s="36">
        <v>0</v>
      </c>
      <c r="BB46" s="36">
        <v>0</v>
      </c>
      <c r="BC46" s="36">
        <v>0</v>
      </c>
      <c r="BD46" s="61">
        <f t="shared" ref="BD46:BD49" si="89">BC46</f>
        <v>0</v>
      </c>
      <c r="BE46" s="36">
        <v>0</v>
      </c>
      <c r="BF46" s="36">
        <v>0</v>
      </c>
      <c r="BG46" s="36">
        <v>0</v>
      </c>
      <c r="BH46" s="36">
        <v>0</v>
      </c>
      <c r="BI46" s="61">
        <f t="shared" ref="BI46:BI49" si="90">BH46</f>
        <v>0</v>
      </c>
      <c r="BJ46" s="36">
        <v>0</v>
      </c>
      <c r="BK46" s="36">
        <v>0</v>
      </c>
      <c r="BL46" s="36">
        <v>0</v>
      </c>
      <c r="BM46" s="36">
        <v>0</v>
      </c>
      <c r="BN46" s="61">
        <f t="shared" ref="BN46:BN49" si="91">BM46</f>
        <v>0</v>
      </c>
      <c r="BO46" s="36">
        <v>0</v>
      </c>
      <c r="BP46" s="36">
        <v>0</v>
      </c>
      <c r="BQ46" s="36">
        <v>0</v>
      </c>
      <c r="BR46" s="36">
        <v>0</v>
      </c>
      <c r="BS46" s="61">
        <f t="shared" ref="BS46:BS49" si="92">BR46</f>
        <v>0</v>
      </c>
      <c r="BT46" s="36">
        <v>0</v>
      </c>
      <c r="BU46" s="36">
        <v>0</v>
      </c>
      <c r="BV46" s="36">
        <v>0</v>
      </c>
      <c r="BW46" s="36">
        <v>0</v>
      </c>
      <c r="BX46" s="61">
        <f t="shared" ref="BX46:BX49" si="93">BW46</f>
        <v>0</v>
      </c>
      <c r="BY46" s="36">
        <v>0</v>
      </c>
      <c r="BZ46" s="36">
        <v>0</v>
      </c>
      <c r="CA46" s="36">
        <v>0</v>
      </c>
      <c r="CB46" s="36">
        <v>0</v>
      </c>
      <c r="CC46" s="61">
        <f t="shared" ref="CC46:CC49" si="94">CB46</f>
        <v>0</v>
      </c>
      <c r="CD46" s="36">
        <v>0</v>
      </c>
      <c r="CE46" s="36">
        <v>0</v>
      </c>
      <c r="CF46" s="36">
        <v>0</v>
      </c>
      <c r="CG46" s="36">
        <v>0</v>
      </c>
      <c r="CH46" s="61">
        <f t="shared" ref="CH46:CH49" si="95">CG46</f>
        <v>0</v>
      </c>
      <c r="CI46" s="36">
        <v>0</v>
      </c>
      <c r="CJ46" s="36">
        <v>0</v>
      </c>
      <c r="CK46" s="36">
        <v>0</v>
      </c>
      <c r="CL46" s="36">
        <v>0</v>
      </c>
      <c r="CM46" s="61">
        <f t="shared" ref="CM46:CM49" si="96">CL46</f>
        <v>0</v>
      </c>
      <c r="CN46" s="36">
        <v>0</v>
      </c>
      <c r="CO46" s="36">
        <v>0</v>
      </c>
      <c r="CP46" s="36"/>
      <c r="CQ46" s="36"/>
      <c r="CR46" s="61">
        <f t="shared" ref="CR46:CR49" si="97">CQ46</f>
        <v>0</v>
      </c>
    </row>
    <row r="47" spans="1:96" ht="11.15" customHeight="1" x14ac:dyDescent="0.2">
      <c r="A47" s="21" t="s">
        <v>80</v>
      </c>
      <c r="B47" s="36">
        <v>0</v>
      </c>
      <c r="C47" s="36">
        <v>0</v>
      </c>
      <c r="D47" s="36">
        <v>0</v>
      </c>
      <c r="E47" s="36">
        <v>0</v>
      </c>
      <c r="F47" s="61">
        <f t="shared" si="59"/>
        <v>0</v>
      </c>
      <c r="G47" s="36">
        <v>0</v>
      </c>
      <c r="H47" s="36">
        <v>0</v>
      </c>
      <c r="I47" s="36">
        <v>0</v>
      </c>
      <c r="J47" s="36">
        <v>0</v>
      </c>
      <c r="K47" s="61">
        <f t="shared" si="88"/>
        <v>0</v>
      </c>
      <c r="L47" s="36">
        <v>0</v>
      </c>
      <c r="M47" s="36">
        <v>0</v>
      </c>
      <c r="N47" s="36">
        <v>0</v>
      </c>
      <c r="O47" s="36">
        <v>0</v>
      </c>
      <c r="P47" s="61">
        <f t="shared" si="61"/>
        <v>0</v>
      </c>
      <c r="Q47" s="36">
        <v>0</v>
      </c>
      <c r="R47" s="36">
        <v>0</v>
      </c>
      <c r="S47" s="36">
        <v>0</v>
      </c>
      <c r="T47" s="36">
        <v>0</v>
      </c>
      <c r="U47" s="61">
        <f t="shared" si="62"/>
        <v>0</v>
      </c>
      <c r="V47" s="36">
        <v>0</v>
      </c>
      <c r="W47" s="36">
        <v>0</v>
      </c>
      <c r="X47" s="36">
        <v>0</v>
      </c>
      <c r="Y47" s="36">
        <v>0</v>
      </c>
      <c r="Z47" s="61">
        <f t="shared" si="63"/>
        <v>0</v>
      </c>
      <c r="AA47" s="36">
        <v>0</v>
      </c>
      <c r="AB47" s="36">
        <v>0</v>
      </c>
      <c r="AC47" s="36">
        <v>0</v>
      </c>
      <c r="AD47" s="36">
        <v>0</v>
      </c>
      <c r="AE47" s="61">
        <f t="shared" si="64"/>
        <v>0</v>
      </c>
      <c r="AF47" s="36">
        <v>0</v>
      </c>
      <c r="AG47" s="36">
        <v>0</v>
      </c>
      <c r="AH47" s="36">
        <v>0</v>
      </c>
      <c r="AI47" s="36">
        <v>-33353</v>
      </c>
      <c r="AJ47" s="61">
        <f t="shared" si="65"/>
        <v>-33353</v>
      </c>
      <c r="AK47" s="36">
        <v>0</v>
      </c>
      <c r="AL47" s="36">
        <v>0</v>
      </c>
      <c r="AM47" s="36">
        <v>0</v>
      </c>
      <c r="AN47" s="36">
        <v>0</v>
      </c>
      <c r="AO47" s="61">
        <f t="shared" si="66"/>
        <v>0</v>
      </c>
      <c r="AP47" s="36">
        <v>0</v>
      </c>
      <c r="AQ47" s="36">
        <v>0</v>
      </c>
      <c r="AR47" s="36">
        <v>0</v>
      </c>
      <c r="AS47" s="36">
        <v>0</v>
      </c>
      <c r="AT47" s="61">
        <f t="shared" si="67"/>
        <v>0</v>
      </c>
      <c r="AU47" s="36">
        <v>0</v>
      </c>
      <c r="AV47" s="36">
        <v>0</v>
      </c>
      <c r="AW47" s="36">
        <v>0</v>
      </c>
      <c r="AX47" s="36">
        <v>0</v>
      </c>
      <c r="AY47" s="61">
        <f t="shared" si="68"/>
        <v>0</v>
      </c>
      <c r="AZ47" s="36">
        <v>0</v>
      </c>
      <c r="BA47" s="36">
        <v>0</v>
      </c>
      <c r="BB47" s="36">
        <v>0</v>
      </c>
      <c r="BC47" s="36">
        <v>0</v>
      </c>
      <c r="BD47" s="61">
        <f t="shared" si="89"/>
        <v>0</v>
      </c>
      <c r="BE47" s="36">
        <v>0</v>
      </c>
      <c r="BF47" s="36">
        <v>0</v>
      </c>
      <c r="BG47" s="36">
        <v>0</v>
      </c>
      <c r="BH47" s="36">
        <v>0</v>
      </c>
      <c r="BI47" s="61">
        <f t="shared" si="90"/>
        <v>0</v>
      </c>
      <c r="BJ47" s="36">
        <v>0</v>
      </c>
      <c r="BK47" s="36">
        <v>0</v>
      </c>
      <c r="BL47" s="36">
        <v>0</v>
      </c>
      <c r="BM47" s="36">
        <v>0</v>
      </c>
      <c r="BN47" s="61">
        <f t="shared" si="91"/>
        <v>0</v>
      </c>
      <c r="BO47" s="36">
        <v>0</v>
      </c>
      <c r="BP47" s="36">
        <v>0</v>
      </c>
      <c r="BQ47" s="36">
        <v>0</v>
      </c>
      <c r="BR47" s="36">
        <v>0</v>
      </c>
      <c r="BS47" s="61">
        <f t="shared" si="92"/>
        <v>0</v>
      </c>
      <c r="BT47" s="36">
        <v>0</v>
      </c>
      <c r="BU47" s="36">
        <v>0</v>
      </c>
      <c r="BV47" s="36">
        <v>0</v>
      </c>
      <c r="BW47" s="36">
        <v>0</v>
      </c>
      <c r="BX47" s="61">
        <f t="shared" si="93"/>
        <v>0</v>
      </c>
      <c r="BY47" s="36">
        <v>0</v>
      </c>
      <c r="BZ47" s="36">
        <v>0</v>
      </c>
      <c r="CA47" s="36">
        <v>0</v>
      </c>
      <c r="CB47" s="36">
        <v>0</v>
      </c>
      <c r="CC47" s="61">
        <f t="shared" si="94"/>
        <v>0</v>
      </c>
      <c r="CD47" s="36">
        <v>0</v>
      </c>
      <c r="CE47" s="36">
        <v>0</v>
      </c>
      <c r="CF47" s="36">
        <v>0</v>
      </c>
      <c r="CG47" s="36">
        <v>0</v>
      </c>
      <c r="CH47" s="61">
        <f t="shared" si="95"/>
        <v>0</v>
      </c>
      <c r="CI47" s="36">
        <v>0</v>
      </c>
      <c r="CJ47" s="36">
        <v>0</v>
      </c>
      <c r="CK47" s="36">
        <v>0</v>
      </c>
      <c r="CL47" s="36">
        <v>0</v>
      </c>
      <c r="CM47" s="61">
        <f t="shared" si="96"/>
        <v>0</v>
      </c>
      <c r="CN47" s="36">
        <v>0</v>
      </c>
      <c r="CO47" s="36">
        <v>0</v>
      </c>
      <c r="CP47" s="36"/>
      <c r="CQ47" s="36"/>
      <c r="CR47" s="61">
        <f t="shared" si="97"/>
        <v>0</v>
      </c>
    </row>
    <row r="48" spans="1:96" ht="11.15" customHeight="1" x14ac:dyDescent="0.2">
      <c r="A48" s="21" t="s">
        <v>21</v>
      </c>
      <c r="B48" s="36">
        <v>0</v>
      </c>
      <c r="C48" s="36">
        <v>0</v>
      </c>
      <c r="D48" s="36">
        <f>-590+440</f>
        <v>-150</v>
      </c>
      <c r="E48" s="36">
        <f>-22087+440</f>
        <v>-21647</v>
      </c>
      <c r="F48" s="61">
        <f t="shared" si="59"/>
        <v>-21647</v>
      </c>
      <c r="G48" s="36">
        <v>0</v>
      </c>
      <c r="H48" s="36">
        <v>0</v>
      </c>
      <c r="I48" s="36">
        <v>23</v>
      </c>
      <c r="J48" s="36">
        <v>57</v>
      </c>
      <c r="K48" s="61">
        <f t="shared" si="88"/>
        <v>57</v>
      </c>
      <c r="L48" s="36">
        <v>0</v>
      </c>
      <c r="M48" s="36">
        <v>0</v>
      </c>
      <c r="N48" s="36">
        <v>-75</v>
      </c>
      <c r="O48" s="36">
        <v>-212</v>
      </c>
      <c r="P48" s="61">
        <f t="shared" si="61"/>
        <v>-212</v>
      </c>
      <c r="Q48" s="36">
        <v>0</v>
      </c>
      <c r="R48" s="36">
        <v>0</v>
      </c>
      <c r="S48" s="36">
        <v>-61</v>
      </c>
      <c r="T48" s="36">
        <v>-50</v>
      </c>
      <c r="U48" s="61">
        <f t="shared" si="62"/>
        <v>-50</v>
      </c>
      <c r="V48" s="36">
        <v>0</v>
      </c>
      <c r="W48" s="36">
        <v>0</v>
      </c>
      <c r="X48" s="11">
        <v>-100</v>
      </c>
      <c r="Y48" s="36">
        <v>-100</v>
      </c>
      <c r="Z48" s="61">
        <f t="shared" si="63"/>
        <v>-100</v>
      </c>
      <c r="AA48" s="36">
        <v>0</v>
      </c>
      <c r="AB48" s="36">
        <v>0</v>
      </c>
      <c r="AC48" s="36">
        <v>0</v>
      </c>
      <c r="AD48" s="36">
        <v>1</v>
      </c>
      <c r="AE48" s="61">
        <f t="shared" si="64"/>
        <v>1</v>
      </c>
      <c r="AF48" s="36">
        <v>0</v>
      </c>
      <c r="AG48" s="36">
        <v>0</v>
      </c>
      <c r="AH48" s="36">
        <v>0</v>
      </c>
      <c r="AI48" s="36">
        <v>0</v>
      </c>
      <c r="AJ48" s="61">
        <f t="shared" si="65"/>
        <v>0</v>
      </c>
      <c r="AK48" s="36">
        <v>0</v>
      </c>
      <c r="AL48" s="36">
        <v>0</v>
      </c>
      <c r="AM48" s="36">
        <v>0</v>
      </c>
      <c r="AN48" s="36">
        <v>0</v>
      </c>
      <c r="AO48" s="61">
        <f t="shared" si="66"/>
        <v>0</v>
      </c>
      <c r="AP48" s="36">
        <v>0</v>
      </c>
      <c r="AQ48" s="36">
        <v>0</v>
      </c>
      <c r="AR48" s="36">
        <v>0</v>
      </c>
      <c r="AS48" s="36">
        <v>0</v>
      </c>
      <c r="AT48" s="61">
        <f t="shared" si="67"/>
        <v>0</v>
      </c>
      <c r="AU48" s="36">
        <v>0</v>
      </c>
      <c r="AV48" s="36">
        <v>0</v>
      </c>
      <c r="AW48" s="36">
        <v>0</v>
      </c>
      <c r="AX48" s="36">
        <v>0</v>
      </c>
      <c r="AY48" s="61">
        <f t="shared" si="68"/>
        <v>0</v>
      </c>
      <c r="AZ48" s="36">
        <v>0</v>
      </c>
      <c r="BA48" s="36">
        <v>0</v>
      </c>
      <c r="BB48" s="36">
        <v>0</v>
      </c>
      <c r="BC48" s="36">
        <v>0</v>
      </c>
      <c r="BD48" s="61">
        <f t="shared" si="89"/>
        <v>0</v>
      </c>
      <c r="BE48" s="36">
        <v>0</v>
      </c>
      <c r="BF48" s="36">
        <v>0</v>
      </c>
      <c r="BG48" s="36">
        <v>0</v>
      </c>
      <c r="BH48" s="36">
        <v>0</v>
      </c>
      <c r="BI48" s="61">
        <f t="shared" si="90"/>
        <v>0</v>
      </c>
      <c r="BJ48" s="36">
        <v>0</v>
      </c>
      <c r="BK48" s="36">
        <v>0</v>
      </c>
      <c r="BL48" s="36">
        <v>0</v>
      </c>
      <c r="BM48" s="36">
        <v>0</v>
      </c>
      <c r="BN48" s="61">
        <f t="shared" si="91"/>
        <v>0</v>
      </c>
      <c r="BO48" s="36">
        <v>0</v>
      </c>
      <c r="BP48" s="36">
        <v>0</v>
      </c>
      <c r="BQ48" s="36">
        <v>0</v>
      </c>
      <c r="BR48" s="36">
        <v>0</v>
      </c>
      <c r="BS48" s="61">
        <f t="shared" si="92"/>
        <v>0</v>
      </c>
      <c r="BT48" s="36">
        <v>-1650</v>
      </c>
      <c r="BU48" s="36">
        <v>-1650</v>
      </c>
      <c r="BV48" s="36">
        <v>-1650</v>
      </c>
      <c r="BW48" s="36">
        <v>-1650</v>
      </c>
      <c r="BX48" s="61">
        <f t="shared" si="93"/>
        <v>-1650</v>
      </c>
      <c r="BY48" s="36">
        <v>-2624</v>
      </c>
      <c r="BZ48" s="36">
        <v>-2624</v>
      </c>
      <c r="CA48" s="36">
        <v>-2624</v>
      </c>
      <c r="CB48" s="36">
        <v>-2625</v>
      </c>
      <c r="CC48" s="61">
        <f t="shared" si="94"/>
        <v>-2625</v>
      </c>
      <c r="CD48" s="36">
        <v>0</v>
      </c>
      <c r="CE48" s="36">
        <v>0</v>
      </c>
      <c r="CF48" s="36">
        <v>0</v>
      </c>
      <c r="CG48" s="36">
        <v>0</v>
      </c>
      <c r="CH48" s="61">
        <f t="shared" si="95"/>
        <v>0</v>
      </c>
      <c r="CI48" s="36">
        <v>0</v>
      </c>
      <c r="CJ48" s="36">
        <v>0</v>
      </c>
      <c r="CK48" s="36">
        <v>0</v>
      </c>
      <c r="CL48" s="36">
        <v>0</v>
      </c>
      <c r="CM48" s="61">
        <f t="shared" si="96"/>
        <v>0</v>
      </c>
      <c r="CN48" s="36">
        <v>0</v>
      </c>
      <c r="CO48" s="36">
        <v>0</v>
      </c>
      <c r="CP48" s="36"/>
      <c r="CQ48" s="36"/>
      <c r="CR48" s="61">
        <f t="shared" si="97"/>
        <v>0</v>
      </c>
    </row>
    <row r="49" spans="1:96" s="2" customFormat="1" ht="11.15" customHeight="1" x14ac:dyDescent="0.25">
      <c r="A49" s="27" t="s">
        <v>35</v>
      </c>
      <c r="B49" s="12">
        <f>SUM(B38:B48)</f>
        <v>-1595</v>
      </c>
      <c r="C49" s="12">
        <f>SUM(C38:C48)</f>
        <v>409</v>
      </c>
      <c r="D49" s="12">
        <f>SUM(D38:D48)</f>
        <v>5710</v>
      </c>
      <c r="E49" s="12">
        <f>SUM(E38:E48)</f>
        <v>66909</v>
      </c>
      <c r="F49" s="60">
        <f t="shared" si="59"/>
        <v>66909</v>
      </c>
      <c r="G49" s="12">
        <f>SUM(G38:G48)</f>
        <v>-19871</v>
      </c>
      <c r="H49" s="12">
        <f>SUM(H38:H48)</f>
        <v>-9146</v>
      </c>
      <c r="I49" s="12">
        <f>SUM(I38:I48)</f>
        <v>-3718</v>
      </c>
      <c r="J49" s="12">
        <f>SUM(J38:J48)</f>
        <v>-7383</v>
      </c>
      <c r="K49" s="60">
        <f t="shared" si="88"/>
        <v>-7383</v>
      </c>
      <c r="L49" s="12">
        <f>SUM(L38:L48)</f>
        <v>3651</v>
      </c>
      <c r="M49" s="12">
        <f>SUM(M38:M48)</f>
        <v>9995</v>
      </c>
      <c r="N49" s="12">
        <f>SUM(N38:N48)</f>
        <v>5620</v>
      </c>
      <c r="O49" s="12">
        <f>SUM(O38:O48)</f>
        <v>10452</v>
      </c>
      <c r="P49" s="60">
        <f t="shared" si="61"/>
        <v>10452</v>
      </c>
      <c r="Q49" s="12">
        <f>SUM(Q38:Q48)</f>
        <v>9568</v>
      </c>
      <c r="R49" s="12">
        <f>SUM(R38:R48)</f>
        <v>11078</v>
      </c>
      <c r="S49" s="12">
        <f>SUM(S38:S48)</f>
        <v>-3845</v>
      </c>
      <c r="T49" s="12">
        <f>SUM(T38:T48)</f>
        <v>-12280</v>
      </c>
      <c r="U49" s="60">
        <f t="shared" si="62"/>
        <v>-12280</v>
      </c>
      <c r="V49" s="12">
        <f>SUM(V38:V48)</f>
        <v>1040</v>
      </c>
      <c r="W49" s="12">
        <f>SUM(W38:W48)</f>
        <v>1109</v>
      </c>
      <c r="X49" s="12">
        <f>SUM(X38:X48)</f>
        <v>4132</v>
      </c>
      <c r="Y49" s="12">
        <f>SUM(Y38:Y48)</f>
        <v>30321</v>
      </c>
      <c r="Z49" s="60">
        <f t="shared" si="63"/>
        <v>30321</v>
      </c>
      <c r="AA49" s="12">
        <f>SUM(AA38:AA48)</f>
        <v>4136</v>
      </c>
      <c r="AB49" s="12">
        <f>SUM(AB38:AB48)</f>
        <v>23430</v>
      </c>
      <c r="AC49" s="12">
        <f>SUM(AC38:AC48)</f>
        <v>24003</v>
      </c>
      <c r="AD49" s="12">
        <f>SUM(AD38:AD48)</f>
        <v>23852</v>
      </c>
      <c r="AE49" s="60">
        <f t="shared" si="64"/>
        <v>23852</v>
      </c>
      <c r="AF49" s="12">
        <f>SUM(AF38:AF48)</f>
        <v>170651</v>
      </c>
      <c r="AG49" s="12">
        <f>SUM(AG38:AG48)</f>
        <v>109952</v>
      </c>
      <c r="AH49" s="12">
        <f>SUM(AH38:AH48)</f>
        <v>112332</v>
      </c>
      <c r="AI49" s="12">
        <f>SUM(AI38:AI48)</f>
        <v>77408</v>
      </c>
      <c r="AJ49" s="60">
        <f t="shared" si="65"/>
        <v>77408</v>
      </c>
      <c r="AK49" s="12">
        <f>SUM(AK38:AK48)</f>
        <v>6562</v>
      </c>
      <c r="AL49" s="12">
        <f>SUM(AL38:AL48)</f>
        <v>-629</v>
      </c>
      <c r="AM49" s="12">
        <f>SUM(AM38:AM48)</f>
        <v>-186</v>
      </c>
      <c r="AN49" s="12">
        <f>SUM(AN38:AN48)</f>
        <v>5275</v>
      </c>
      <c r="AO49" s="60">
        <f t="shared" si="66"/>
        <v>5275</v>
      </c>
      <c r="AP49" s="12">
        <f>SUM(AP38:AP48)</f>
        <v>-694</v>
      </c>
      <c r="AQ49" s="12">
        <f>SUM(AQ38:AQ48)</f>
        <v>2177</v>
      </c>
      <c r="AR49" s="12">
        <f>SUM(AR38:AR48)</f>
        <v>1945</v>
      </c>
      <c r="AS49" s="12">
        <f>SUM(AS38:AS48)</f>
        <v>5550</v>
      </c>
      <c r="AT49" s="60">
        <f t="shared" si="67"/>
        <v>5550</v>
      </c>
      <c r="AU49" s="12">
        <f>SUM(AU38:AU48)</f>
        <v>1704</v>
      </c>
      <c r="AV49" s="12">
        <f>SUM(AV38:AV48)</f>
        <v>-3536</v>
      </c>
      <c r="AW49" s="12">
        <f>SUM(AW38:AW48)</f>
        <v>-4618</v>
      </c>
      <c r="AX49" s="12">
        <f>SUM(AX38:AX48)</f>
        <v>-1541</v>
      </c>
      <c r="AY49" s="60">
        <f t="shared" si="68"/>
        <v>-1541</v>
      </c>
      <c r="AZ49" s="12">
        <f>SUM(AZ38:AZ48)</f>
        <v>2135</v>
      </c>
      <c r="BA49" s="12">
        <f>SUM(BA38:BA48)</f>
        <v>30379</v>
      </c>
      <c r="BB49" s="12">
        <f>SUM(BB38:BB48)</f>
        <v>26706</v>
      </c>
      <c r="BC49" s="12">
        <f>SUM(BC38:BC48)</f>
        <v>27443</v>
      </c>
      <c r="BD49" s="60">
        <f t="shared" si="89"/>
        <v>27443</v>
      </c>
      <c r="BE49" s="12">
        <f>SUM(BE38:BE48)</f>
        <v>-3736</v>
      </c>
      <c r="BF49" s="12">
        <f>SUM(BF38:BF48)</f>
        <v>-25417</v>
      </c>
      <c r="BG49" s="12">
        <f>SUM(BG38:BG48)</f>
        <v>5237</v>
      </c>
      <c r="BH49" s="12">
        <f>SUM(BH38:BH48)</f>
        <v>-3372</v>
      </c>
      <c r="BI49" s="60">
        <f t="shared" si="90"/>
        <v>-3372</v>
      </c>
      <c r="BJ49" s="12">
        <f>SUM(BJ38:BJ48)</f>
        <v>-17853</v>
      </c>
      <c r="BK49" s="12">
        <f>SUM(BK38:BK48)</f>
        <v>-42227</v>
      </c>
      <c r="BL49" s="12">
        <f>SUM(BL38:BL48)</f>
        <v>-102129</v>
      </c>
      <c r="BM49" s="12">
        <f>SUM(BM38:BM48)</f>
        <v>-166647</v>
      </c>
      <c r="BN49" s="60">
        <f t="shared" si="91"/>
        <v>-166647</v>
      </c>
      <c r="BO49" s="12">
        <f>SUM(BO38:BO48)</f>
        <v>-7060</v>
      </c>
      <c r="BP49" s="12">
        <f>SUM(BP38:BP48)</f>
        <v>-4143</v>
      </c>
      <c r="BQ49" s="12">
        <f>SUM(BQ38:BQ48)</f>
        <v>-27024</v>
      </c>
      <c r="BR49" s="12">
        <f>SUM(BR38:BR48)</f>
        <v>-37067</v>
      </c>
      <c r="BS49" s="60">
        <f t="shared" si="92"/>
        <v>-37067</v>
      </c>
      <c r="BT49" s="12">
        <f>SUM(BT38:BT48)</f>
        <v>-20792</v>
      </c>
      <c r="BU49" s="12">
        <f>SUM(BU38:BU48)</f>
        <v>-23471</v>
      </c>
      <c r="BV49" s="12">
        <f>SUM(BV38:BV48)</f>
        <v>-25565</v>
      </c>
      <c r="BW49" s="12">
        <f>SUM(BW38:BW48)</f>
        <v>-10080</v>
      </c>
      <c r="BX49" s="60">
        <f t="shared" si="93"/>
        <v>-10080</v>
      </c>
      <c r="BY49" s="12">
        <f>SUM(BY38:BY48)</f>
        <v>-1637</v>
      </c>
      <c r="BZ49" s="12">
        <f>SUM(BZ38:BZ48)</f>
        <v>-35684</v>
      </c>
      <c r="CA49" s="12">
        <f>SUM(CA38:CA48)</f>
        <v>-72119</v>
      </c>
      <c r="CB49" s="12">
        <f>SUM(CB38:CB48)</f>
        <v>-125066</v>
      </c>
      <c r="CC49" s="60">
        <f t="shared" si="94"/>
        <v>-125066</v>
      </c>
      <c r="CD49" s="12">
        <f>SUM(CD38:CD48)</f>
        <v>-80445</v>
      </c>
      <c r="CE49" s="12">
        <f>SUM(CE38:CE48)</f>
        <v>-311450</v>
      </c>
      <c r="CF49" s="12">
        <f>SUM(CF38:CF48)</f>
        <v>-400861</v>
      </c>
      <c r="CG49" s="12">
        <f>SUM(CG38:CG48)</f>
        <v>-514549</v>
      </c>
      <c r="CH49" s="60">
        <f t="shared" si="95"/>
        <v>-514549</v>
      </c>
      <c r="CI49" s="12">
        <f>SUM(CI38:CI48)</f>
        <v>-117236</v>
      </c>
      <c r="CJ49" s="12">
        <f>SUM(CJ38:CJ48)</f>
        <v>-129793</v>
      </c>
      <c r="CK49" s="12">
        <f>SUM(CK38:CK48)</f>
        <v>-175991</v>
      </c>
      <c r="CL49" s="12">
        <f>SUM(CL38:CL48)</f>
        <v>-236380</v>
      </c>
      <c r="CM49" s="60">
        <f t="shared" si="96"/>
        <v>-236380</v>
      </c>
      <c r="CN49" s="12">
        <f>SUM(CN38:CN48)</f>
        <v>-90774</v>
      </c>
      <c r="CO49" s="12">
        <f>SUM(CO38:CO48)</f>
        <v>-210228</v>
      </c>
      <c r="CP49" s="12"/>
      <c r="CQ49" s="12"/>
      <c r="CR49" s="60">
        <f t="shared" si="97"/>
        <v>0</v>
      </c>
    </row>
    <row r="50" spans="1:96" s="2" customFormat="1" ht="11.15" customHeight="1" x14ac:dyDescent="0.25">
      <c r="A50" s="21"/>
      <c r="B50" s="11"/>
      <c r="C50" s="11"/>
      <c r="D50" s="11"/>
      <c r="E50" s="11"/>
      <c r="F50" s="61"/>
      <c r="G50" s="11"/>
      <c r="H50" s="11"/>
      <c r="I50" s="11"/>
      <c r="J50" s="11"/>
      <c r="K50" s="61"/>
      <c r="L50" s="11"/>
      <c r="M50" s="11"/>
      <c r="N50" s="11"/>
      <c r="O50" s="11"/>
      <c r="P50" s="61"/>
      <c r="Q50" s="11"/>
      <c r="R50" s="11"/>
      <c r="S50" s="11"/>
      <c r="T50" s="11"/>
      <c r="U50" s="61"/>
      <c r="V50" s="11"/>
      <c r="W50" s="11"/>
      <c r="X50" s="11"/>
      <c r="Y50" s="11"/>
      <c r="Z50" s="61"/>
      <c r="AA50" s="11"/>
      <c r="AB50" s="11"/>
      <c r="AC50" s="11"/>
      <c r="AD50" s="11"/>
      <c r="AE50" s="61"/>
      <c r="AF50" s="11"/>
      <c r="AG50" s="11"/>
      <c r="AH50" s="11"/>
      <c r="AI50" s="11"/>
      <c r="AJ50" s="61"/>
      <c r="AK50" s="11"/>
      <c r="AL50" s="11"/>
      <c r="AM50" s="11"/>
      <c r="AN50" s="11"/>
      <c r="AO50" s="61"/>
      <c r="AP50" s="11"/>
      <c r="AQ50" s="11"/>
      <c r="AR50" s="11"/>
      <c r="AS50" s="11"/>
      <c r="AT50" s="61"/>
      <c r="AU50" s="11"/>
      <c r="AV50" s="11"/>
      <c r="AW50" s="11"/>
      <c r="AX50" s="11"/>
      <c r="AY50" s="61"/>
      <c r="AZ50" s="11"/>
      <c r="BA50" s="11"/>
      <c r="BB50" s="11"/>
      <c r="BC50" s="11"/>
      <c r="BD50" s="61"/>
      <c r="BE50" s="11"/>
      <c r="BF50" s="11"/>
      <c r="BG50" s="11"/>
      <c r="BH50" s="11"/>
      <c r="BI50" s="61"/>
      <c r="BJ50" s="11"/>
      <c r="BK50" s="11"/>
      <c r="BL50" s="11"/>
      <c r="BM50" s="11"/>
      <c r="BN50" s="61"/>
      <c r="BO50" s="11"/>
      <c r="BP50" s="11"/>
      <c r="BQ50" s="11"/>
      <c r="BR50" s="11"/>
      <c r="BS50" s="61"/>
      <c r="BT50" s="11"/>
      <c r="BU50" s="11"/>
      <c r="BV50" s="11"/>
      <c r="BW50" s="11"/>
      <c r="BX50" s="61"/>
      <c r="BY50" s="11"/>
      <c r="BZ50" s="11"/>
      <c r="CA50" s="11"/>
      <c r="CB50" s="11"/>
      <c r="CC50" s="61"/>
      <c r="CD50" s="11"/>
      <c r="CE50" s="11"/>
      <c r="CF50" s="11"/>
      <c r="CG50" s="11"/>
      <c r="CH50" s="61"/>
      <c r="CI50" s="11"/>
      <c r="CJ50" s="11"/>
      <c r="CK50" s="11"/>
      <c r="CL50" s="11"/>
      <c r="CM50" s="61"/>
      <c r="CN50" s="11"/>
      <c r="CO50" s="11"/>
      <c r="CP50" s="11"/>
      <c r="CQ50" s="11"/>
      <c r="CR50" s="61"/>
    </row>
    <row r="51" spans="1:96" s="2" customFormat="1" ht="11.15" customHeight="1" x14ac:dyDescent="0.25">
      <c r="A51" s="6" t="s">
        <v>201</v>
      </c>
      <c r="B51" s="37">
        <v>61</v>
      </c>
      <c r="C51" s="37">
        <v>167</v>
      </c>
      <c r="D51" s="37">
        <v>173</v>
      </c>
      <c r="E51" s="37">
        <v>322</v>
      </c>
      <c r="F51" s="59">
        <f>E51</f>
        <v>322</v>
      </c>
      <c r="G51" s="37">
        <v>-51</v>
      </c>
      <c r="H51" s="37">
        <v>-57</v>
      </c>
      <c r="I51" s="37">
        <v>23</v>
      </c>
      <c r="J51" s="37">
        <v>313</v>
      </c>
      <c r="K51" s="59">
        <f>J51</f>
        <v>313</v>
      </c>
      <c r="L51" s="37">
        <v>169</v>
      </c>
      <c r="M51" s="37">
        <v>50</v>
      </c>
      <c r="N51" s="37">
        <v>-431</v>
      </c>
      <c r="O51" s="37">
        <v>-194</v>
      </c>
      <c r="P51" s="59">
        <f>O51</f>
        <v>-194</v>
      </c>
      <c r="Q51" s="37">
        <v>-2096</v>
      </c>
      <c r="R51" s="37">
        <v>-313</v>
      </c>
      <c r="S51" s="37">
        <v>701</v>
      </c>
      <c r="T51" s="37">
        <v>151</v>
      </c>
      <c r="U51" s="59">
        <f>T51</f>
        <v>151</v>
      </c>
      <c r="V51" s="37">
        <v>-1909</v>
      </c>
      <c r="W51" s="37">
        <v>-4120</v>
      </c>
      <c r="X51" s="37">
        <v>-1691</v>
      </c>
      <c r="Y51" s="37">
        <v>-3697</v>
      </c>
      <c r="Z51" s="59">
        <f>Y51</f>
        <v>-3697</v>
      </c>
      <c r="AA51" s="37">
        <v>5248</v>
      </c>
      <c r="AB51" s="37">
        <v>6780</v>
      </c>
      <c r="AC51" s="37">
        <v>-3771</v>
      </c>
      <c r="AD51" s="37">
        <v>-7763</v>
      </c>
      <c r="AE51" s="59">
        <f>AD51</f>
        <v>-7763</v>
      </c>
      <c r="AF51" s="37">
        <v>4762</v>
      </c>
      <c r="AG51" s="37">
        <v>-3840</v>
      </c>
      <c r="AH51" s="37">
        <v>-2200</v>
      </c>
      <c r="AI51" s="37">
        <v>1713</v>
      </c>
      <c r="AJ51" s="59">
        <f>AI51</f>
        <v>1713</v>
      </c>
      <c r="AK51" s="37">
        <v>-2188</v>
      </c>
      <c r="AL51" s="37">
        <v>-1325</v>
      </c>
      <c r="AM51" s="37">
        <v>3161</v>
      </c>
      <c r="AN51" s="37">
        <v>7093</v>
      </c>
      <c r="AO51" s="59">
        <f>AN51</f>
        <v>7093</v>
      </c>
      <c r="AP51" s="37">
        <v>-1124</v>
      </c>
      <c r="AQ51" s="37">
        <v>-1337</v>
      </c>
      <c r="AR51" s="37">
        <v>-15747</v>
      </c>
      <c r="AS51" s="37">
        <v>-28180</v>
      </c>
      <c r="AT51" s="59">
        <f>AS51</f>
        <v>-28180</v>
      </c>
      <c r="AU51" s="37">
        <v>-20367</v>
      </c>
      <c r="AV51" s="37">
        <v>-16842</v>
      </c>
      <c r="AW51" s="37">
        <v>-11322</v>
      </c>
      <c r="AX51" s="37">
        <v>-19992</v>
      </c>
      <c r="AY51" s="59">
        <f>AX51</f>
        <v>-19992</v>
      </c>
      <c r="AZ51" s="37">
        <v>8812</v>
      </c>
      <c r="BA51" s="37">
        <v>3696</v>
      </c>
      <c r="BB51" s="37">
        <v>7379</v>
      </c>
      <c r="BC51" s="37">
        <v>-9408</v>
      </c>
      <c r="BD51" s="59">
        <f>BC51</f>
        <v>-9408</v>
      </c>
      <c r="BE51" s="37">
        <v>6465</v>
      </c>
      <c r="BF51" s="37">
        <v>31867</v>
      </c>
      <c r="BG51" s="37">
        <v>47641</v>
      </c>
      <c r="BH51" s="37">
        <v>54827</v>
      </c>
      <c r="BI51" s="59">
        <f>BH51</f>
        <v>54827</v>
      </c>
      <c r="BJ51" s="37">
        <v>16866</v>
      </c>
      <c r="BK51" s="37">
        <v>-31111</v>
      </c>
      <c r="BL51" s="37">
        <v>-23548</v>
      </c>
      <c r="BM51" s="37">
        <v>-29197</v>
      </c>
      <c r="BN51" s="59">
        <f>BM51</f>
        <v>-29197</v>
      </c>
      <c r="BO51" s="37">
        <v>-5997</v>
      </c>
      <c r="BP51" s="37">
        <v>-2759</v>
      </c>
      <c r="BQ51" s="37">
        <v>-16561</v>
      </c>
      <c r="BR51" s="37">
        <v>-7853</v>
      </c>
      <c r="BS51" s="59">
        <f>BR51</f>
        <v>-7853</v>
      </c>
      <c r="BT51" s="37">
        <v>-6878</v>
      </c>
      <c r="BU51" s="37">
        <v>-4523</v>
      </c>
      <c r="BV51" s="37">
        <v>4692</v>
      </c>
      <c r="BW51" s="37">
        <v>19888</v>
      </c>
      <c r="BX51" s="59">
        <f>BW51</f>
        <v>19888</v>
      </c>
      <c r="BY51" s="37">
        <v>-7024</v>
      </c>
      <c r="BZ51" s="37">
        <v>-8217</v>
      </c>
      <c r="CA51" s="37">
        <v>-11862</v>
      </c>
      <c r="CB51" s="37">
        <v>-17800</v>
      </c>
      <c r="CC51" s="59">
        <f>CB51</f>
        <v>-17800</v>
      </c>
      <c r="CD51" s="37">
        <v>-5036</v>
      </c>
      <c r="CE51" s="37">
        <v>-1249</v>
      </c>
      <c r="CF51" s="37">
        <v>-17461</v>
      </c>
      <c r="CG51" s="37">
        <v>-5948</v>
      </c>
      <c r="CH51" s="59">
        <f>CG51</f>
        <v>-5948</v>
      </c>
      <c r="CI51" s="37">
        <v>-1098</v>
      </c>
      <c r="CJ51" s="37">
        <v>-8750</v>
      </c>
      <c r="CK51" s="37">
        <v>-20862</v>
      </c>
      <c r="CL51" s="37">
        <v>-5587</v>
      </c>
      <c r="CM51" s="59">
        <f>CL51</f>
        <v>-5587</v>
      </c>
      <c r="CN51" s="37">
        <v>-5780</v>
      </c>
      <c r="CO51" s="37">
        <v>-604</v>
      </c>
      <c r="CP51" s="37"/>
      <c r="CQ51" s="37"/>
      <c r="CR51" s="59">
        <f>CQ51</f>
        <v>0</v>
      </c>
    </row>
    <row r="52" spans="1:96" s="2" customFormat="1" ht="11.15" customHeight="1" x14ac:dyDescent="0.25">
      <c r="A52" s="21"/>
      <c r="B52" s="11"/>
      <c r="C52" s="11"/>
      <c r="D52" s="11"/>
      <c r="E52" s="11"/>
      <c r="F52" s="61"/>
      <c r="G52" s="11"/>
      <c r="H52" s="11"/>
      <c r="I52" s="11"/>
      <c r="J52" s="11"/>
      <c r="K52" s="61"/>
      <c r="L52" s="11"/>
      <c r="M52" s="11"/>
      <c r="N52" s="11"/>
      <c r="O52" s="11"/>
      <c r="P52" s="61"/>
      <c r="Q52" s="11"/>
      <c r="R52" s="11"/>
      <c r="S52" s="11"/>
      <c r="T52" s="11"/>
      <c r="U52" s="61"/>
      <c r="V52" s="11"/>
      <c r="W52" s="11"/>
      <c r="X52" s="11"/>
      <c r="Y52" s="11"/>
      <c r="Z52" s="61"/>
      <c r="AA52" s="11"/>
      <c r="AB52" s="11"/>
      <c r="AC52" s="11"/>
      <c r="AD52" s="11"/>
      <c r="AE52" s="61"/>
      <c r="AF52" s="11"/>
      <c r="AG52" s="11"/>
      <c r="AH52" s="11"/>
      <c r="AI52" s="11"/>
      <c r="AJ52" s="61"/>
      <c r="AK52" s="11"/>
      <c r="AL52" s="11"/>
      <c r="AM52" s="11"/>
      <c r="AN52" s="11"/>
      <c r="AO52" s="61"/>
      <c r="AP52" s="11"/>
      <c r="AQ52" s="11"/>
      <c r="AR52" s="11"/>
      <c r="AS52" s="11"/>
      <c r="AT52" s="61"/>
      <c r="AU52" s="11"/>
      <c r="AV52" s="11"/>
      <c r="AW52" s="11"/>
      <c r="AX52" s="11"/>
      <c r="AY52" s="61"/>
      <c r="AZ52" s="11"/>
      <c r="BA52" s="11"/>
      <c r="BB52" s="11"/>
      <c r="BC52" s="11"/>
      <c r="BD52" s="61"/>
      <c r="BE52" s="11"/>
      <c r="BF52" s="11"/>
      <c r="BG52" s="11"/>
      <c r="BH52" s="11"/>
      <c r="BI52" s="61"/>
      <c r="BJ52" s="11"/>
      <c r="BK52" s="11"/>
      <c r="BL52" s="11"/>
      <c r="BM52" s="11"/>
      <c r="BN52" s="61"/>
      <c r="BO52" s="11"/>
      <c r="BP52" s="11"/>
      <c r="BQ52" s="11"/>
      <c r="BR52" s="11"/>
      <c r="BS52" s="61"/>
      <c r="BT52" s="11"/>
      <c r="BU52" s="11"/>
      <c r="BV52" s="11"/>
      <c r="BW52" s="11"/>
      <c r="BX52" s="61"/>
      <c r="BY52" s="11"/>
      <c r="BZ52" s="11"/>
      <c r="CA52" s="11"/>
      <c r="CB52" s="11"/>
      <c r="CC52" s="61"/>
      <c r="CD52" s="11"/>
      <c r="CE52" s="11"/>
      <c r="CF52" s="11"/>
      <c r="CG52" s="11"/>
      <c r="CH52" s="61"/>
      <c r="CI52" s="11"/>
      <c r="CJ52" s="11"/>
      <c r="CK52" s="11"/>
      <c r="CL52" s="11"/>
      <c r="CM52" s="61"/>
      <c r="CN52" s="11"/>
      <c r="CO52" s="11"/>
      <c r="CP52" s="11"/>
      <c r="CQ52" s="11"/>
      <c r="CR52" s="61"/>
    </row>
    <row r="53" spans="1:96" ht="11.15" customHeight="1" x14ac:dyDescent="0.2">
      <c r="A53" s="13" t="s">
        <v>202</v>
      </c>
      <c r="B53" s="11">
        <f>B24+B35+B49+B51</f>
        <v>2492</v>
      </c>
      <c r="C53" s="11">
        <f>C24+C35+C49+C51</f>
        <v>2921</v>
      </c>
      <c r="D53" s="11">
        <f>D24+D35+D49+D51</f>
        <v>2996</v>
      </c>
      <c r="E53" s="11">
        <f>E24+E35+E49+E51</f>
        <v>67306</v>
      </c>
      <c r="F53" s="61">
        <f>E53</f>
        <v>67306</v>
      </c>
      <c r="G53" s="11">
        <f>G24+G35+G49+G51</f>
        <v>-26538</v>
      </c>
      <c r="H53" s="11">
        <f>H24+H35+H49+H51</f>
        <v>-28958</v>
      </c>
      <c r="I53" s="11">
        <f>I24+I35+I49+I51</f>
        <v>-30917</v>
      </c>
      <c r="J53" s="11">
        <f>J24+J35+J49+J51</f>
        <v>-37695</v>
      </c>
      <c r="K53" s="61">
        <f>J53</f>
        <v>-37695</v>
      </c>
      <c r="L53" s="11">
        <f>L24+L35+L49+L51</f>
        <v>726</v>
      </c>
      <c r="M53" s="11">
        <f>M24+M35+M49+M51</f>
        <v>6954</v>
      </c>
      <c r="N53" s="11">
        <f>N24+N35+N49+N51</f>
        <v>6367</v>
      </c>
      <c r="O53" s="11">
        <f>O24+O35+O49+O51</f>
        <v>13311</v>
      </c>
      <c r="P53" s="61">
        <f>O53</f>
        <v>13311</v>
      </c>
      <c r="Q53" s="11">
        <f>Q24+Q35+Q49+Q51</f>
        <v>20318</v>
      </c>
      <c r="R53" s="11">
        <f>R24+R35+R49+R51</f>
        <v>26785</v>
      </c>
      <c r="S53" s="11">
        <f>S24+S35+S49+S51</f>
        <v>25026</v>
      </c>
      <c r="T53" s="11">
        <f>T24+T35+T49+T51</f>
        <v>31637</v>
      </c>
      <c r="U53" s="61">
        <f>T53</f>
        <v>31637</v>
      </c>
      <c r="V53" s="11">
        <f>V24+V35+V49+V51</f>
        <v>1487</v>
      </c>
      <c r="W53" s="11">
        <f>W24+W35+W49+W51</f>
        <v>7735</v>
      </c>
      <c r="X53" s="11">
        <f>X24+X35+X49+X51</f>
        <v>13710</v>
      </c>
      <c r="Y53" s="11">
        <f>Y24+Y35+Y49+Y51</f>
        <v>64940</v>
      </c>
      <c r="Z53" s="61">
        <f>Y53</f>
        <v>64940</v>
      </c>
      <c r="AA53" s="11">
        <f>AA24+AA35+AA49+AA51</f>
        <v>12758</v>
      </c>
      <c r="AB53" s="11">
        <f>AB24+AB35+AB49+AB51</f>
        <v>40336</v>
      </c>
      <c r="AC53" s="11">
        <f>AC24+AC35+AC49+AC51</f>
        <v>48726</v>
      </c>
      <c r="AD53" s="11">
        <f>AD24+AD35+AD49+AD51</f>
        <v>32374</v>
      </c>
      <c r="AE53" s="61">
        <f>AD53</f>
        <v>32374</v>
      </c>
      <c r="AF53" s="11">
        <f>AF24+AF35+AF49+AF51</f>
        <v>196837</v>
      </c>
      <c r="AG53" s="11">
        <f>AG24+AG35+AG49+AG51</f>
        <v>165344</v>
      </c>
      <c r="AH53" s="11">
        <f>AH24+AH35+AH49+AH51</f>
        <v>192335</v>
      </c>
      <c r="AI53" s="11">
        <f>AI24+AI35+AI49+AI51</f>
        <v>203819</v>
      </c>
      <c r="AJ53" s="61">
        <f>AI53</f>
        <v>203819</v>
      </c>
      <c r="AK53" s="11">
        <f>AK24+AK35+AK49+AK51</f>
        <v>-28338</v>
      </c>
      <c r="AL53" s="11">
        <f>AL24+AL35+AL49+AL51</f>
        <v>-14569</v>
      </c>
      <c r="AM53" s="11">
        <f>AM24+AM35+AM49+AM51</f>
        <v>14302</v>
      </c>
      <c r="AN53" s="11">
        <f>AN24+AN35+AN49+AN51</f>
        <v>64723</v>
      </c>
      <c r="AO53" s="61">
        <f>AN53</f>
        <v>64723</v>
      </c>
      <c r="AP53" s="11">
        <f>AP24+AP35+AP49+AP51</f>
        <v>31833</v>
      </c>
      <c r="AQ53" s="11">
        <f>AQ24+AQ35+AQ49+AQ51</f>
        <v>34656</v>
      </c>
      <c r="AR53" s="11">
        <f>AR24+AR35+AR49+AR51</f>
        <v>38742</v>
      </c>
      <c r="AS53" s="11">
        <f>AS24+AS35+AS49+AS51</f>
        <v>73374</v>
      </c>
      <c r="AT53" s="61">
        <f>AS53</f>
        <v>73374</v>
      </c>
      <c r="AU53" s="11">
        <f>AU24+AU35+AU49+AU51</f>
        <v>19324</v>
      </c>
      <c r="AV53" s="11">
        <f>AV24+AV35+AV49+AV51</f>
        <v>49358</v>
      </c>
      <c r="AW53" s="11">
        <f>AW24+AW35+AW49+AW51</f>
        <v>129070</v>
      </c>
      <c r="AX53" s="11">
        <f>AX24+AX35+AX49+AX51</f>
        <v>60382</v>
      </c>
      <c r="AY53" s="61">
        <f>AX53</f>
        <v>60382</v>
      </c>
      <c r="AZ53" s="11">
        <f>AZ24+AZ35+AZ49+AZ51</f>
        <v>31160</v>
      </c>
      <c r="BA53" s="11">
        <f>BA24+BA35+BA49+BA51</f>
        <v>4754</v>
      </c>
      <c r="BB53" s="11">
        <f>BB24+BB35+BB49+BB51</f>
        <v>63026</v>
      </c>
      <c r="BC53" s="11">
        <f>BC24+BC35+BC49+BC51</f>
        <v>41323</v>
      </c>
      <c r="BD53" s="61">
        <f>BC53</f>
        <v>41323</v>
      </c>
      <c r="BE53" s="11">
        <f>BE24+BE35+BE49+BE51</f>
        <v>73923</v>
      </c>
      <c r="BF53" s="11">
        <f>BF24+BF35+BF49+BF51</f>
        <v>184256</v>
      </c>
      <c r="BG53" s="11">
        <f>BG24+BG35+BG49+BG51</f>
        <v>256412</v>
      </c>
      <c r="BH53" s="11">
        <f>BH24+BH35+BH49+BH51</f>
        <v>286045</v>
      </c>
      <c r="BI53" s="61">
        <f>BH53</f>
        <v>286045</v>
      </c>
      <c r="BJ53" s="11">
        <f>BJ24+BJ35+BJ49+BJ51</f>
        <v>59223</v>
      </c>
      <c r="BK53" s="11">
        <f>BK24+BK35+BK49+BK51</f>
        <v>-93108</v>
      </c>
      <c r="BL53" s="11">
        <f>BL24+BL35+BL49+BL51</f>
        <v>-262294</v>
      </c>
      <c r="BM53" s="11">
        <f>BM24+BM35+BM49+BM51</f>
        <v>-365542</v>
      </c>
      <c r="BN53" s="61">
        <f>BM53</f>
        <v>-365542</v>
      </c>
      <c r="BO53" s="11">
        <f>BO24+BO35+BO49+BO51</f>
        <v>7446</v>
      </c>
      <c r="BP53" s="11">
        <f>BP24+BP35+BP49+BP51</f>
        <v>-11381</v>
      </c>
      <c r="BQ53" s="11">
        <f>BQ24+BQ35+BQ49+BQ51</f>
        <v>38760</v>
      </c>
      <c r="BR53" s="11">
        <f>BR24+BR35+BR49+BR51</f>
        <v>138626</v>
      </c>
      <c r="BS53" s="61">
        <f>BR53</f>
        <v>138626</v>
      </c>
      <c r="BT53" s="11">
        <f>BT24+BT35+BT49+BT51</f>
        <v>-110643</v>
      </c>
      <c r="BU53" s="11">
        <f>BU24+BU35+BU49+BU51</f>
        <v>67058</v>
      </c>
      <c r="BV53" s="11">
        <f>BV24+BV35+BV49+BV51</f>
        <v>83066</v>
      </c>
      <c r="BW53" s="11">
        <f>BW24+BW35+BW49+BW51</f>
        <v>195569</v>
      </c>
      <c r="BX53" s="61">
        <f>BW53</f>
        <v>195569</v>
      </c>
      <c r="BY53" s="11">
        <f>BY24+BY35+BY49+BY51</f>
        <v>18188</v>
      </c>
      <c r="BZ53" s="11">
        <f>BZ24+BZ35+BZ49+BZ51</f>
        <v>-124354</v>
      </c>
      <c r="CA53" s="11">
        <f>CA24+CA35+CA49+CA51</f>
        <v>-83649</v>
      </c>
      <c r="CB53" s="11">
        <f>CB24+CB35+CB49+CB51</f>
        <v>-169448</v>
      </c>
      <c r="CC53" s="61">
        <f>CB53</f>
        <v>-169448</v>
      </c>
      <c r="CD53" s="11">
        <f>CD24+CD35+CD49+CD51</f>
        <v>-66588</v>
      </c>
      <c r="CE53" s="11">
        <f>CE24+CE35+CE49+CE51</f>
        <v>62683</v>
      </c>
      <c r="CF53" s="11">
        <f>CF24+CF35+CF49+CF51</f>
        <v>160169</v>
      </c>
      <c r="CG53" s="11">
        <f>CG24+CG35+CG49+CG51</f>
        <v>-10896</v>
      </c>
      <c r="CH53" s="61">
        <f>CG53</f>
        <v>-10896</v>
      </c>
      <c r="CI53" s="11">
        <f>CI24+CI35+CI49+CI51</f>
        <v>-177072</v>
      </c>
      <c r="CJ53" s="11">
        <f>CJ24+CJ35+CJ49+CJ51</f>
        <v>-125138</v>
      </c>
      <c r="CK53" s="11">
        <f>CK24+CK35+CK49+CK51</f>
        <v>-169925</v>
      </c>
      <c r="CL53" s="11">
        <f>CL24+CL35+CL49+CL51</f>
        <v>-183535</v>
      </c>
      <c r="CM53" s="61">
        <f>CL53</f>
        <v>-183535</v>
      </c>
      <c r="CN53" s="11">
        <f>CN24+CN35+CN49+CN51</f>
        <v>-18222</v>
      </c>
      <c r="CO53" s="11">
        <f>CO24+CO35+CO49+CO51</f>
        <v>205866</v>
      </c>
      <c r="CP53" s="11"/>
      <c r="CQ53" s="11"/>
      <c r="CR53" s="61">
        <f>CQ53</f>
        <v>0</v>
      </c>
    </row>
    <row r="54" spans="1:96" ht="11.15" customHeight="1" x14ac:dyDescent="0.2">
      <c r="A54" s="13" t="s">
        <v>203</v>
      </c>
      <c r="B54" s="9">
        <v>8361</v>
      </c>
      <c r="C54" s="9">
        <v>8361</v>
      </c>
      <c r="D54" s="9">
        <v>8361</v>
      </c>
      <c r="E54" s="9">
        <v>8361</v>
      </c>
      <c r="F54" s="59">
        <f>E54</f>
        <v>8361</v>
      </c>
      <c r="G54" s="9">
        <f>F57</f>
        <v>75667</v>
      </c>
      <c r="H54" s="9">
        <f>F57</f>
        <v>75667</v>
      </c>
      <c r="I54" s="9">
        <f>F57</f>
        <v>75667</v>
      </c>
      <c r="J54" s="9">
        <f>F57</f>
        <v>75667</v>
      </c>
      <c r="K54" s="59">
        <f>J54</f>
        <v>75667</v>
      </c>
      <c r="L54" s="9">
        <f>K57</f>
        <v>37972</v>
      </c>
      <c r="M54" s="9">
        <f>K57</f>
        <v>37972</v>
      </c>
      <c r="N54" s="9">
        <f>K57</f>
        <v>37972</v>
      </c>
      <c r="O54" s="9">
        <f>K57</f>
        <v>37972</v>
      </c>
      <c r="P54" s="59">
        <f>O54</f>
        <v>37972</v>
      </c>
      <c r="Q54" s="9">
        <f>P57</f>
        <v>51283</v>
      </c>
      <c r="R54" s="9">
        <f>P57</f>
        <v>51283</v>
      </c>
      <c r="S54" s="9">
        <f>P57</f>
        <v>51283</v>
      </c>
      <c r="T54" s="9">
        <f>P57</f>
        <v>51283</v>
      </c>
      <c r="U54" s="59">
        <f>T54</f>
        <v>51283</v>
      </c>
      <c r="V54" s="9">
        <f>U57</f>
        <v>82920</v>
      </c>
      <c r="W54" s="9">
        <f>U57</f>
        <v>82920</v>
      </c>
      <c r="X54" s="9">
        <f>U57</f>
        <v>82920</v>
      </c>
      <c r="Y54" s="9">
        <f>U57</f>
        <v>82920</v>
      </c>
      <c r="Z54" s="59">
        <f>Y54</f>
        <v>82920</v>
      </c>
      <c r="AA54" s="9">
        <f>Z57</f>
        <v>147860</v>
      </c>
      <c r="AB54" s="9">
        <f>Z57</f>
        <v>147860</v>
      </c>
      <c r="AC54" s="9">
        <f>Z57</f>
        <v>147860</v>
      </c>
      <c r="AD54" s="9">
        <f>Z57</f>
        <v>147860</v>
      </c>
      <c r="AE54" s="59">
        <f>AD54</f>
        <v>147860</v>
      </c>
      <c r="AF54" s="9">
        <f>AE57</f>
        <v>180234</v>
      </c>
      <c r="AG54" s="9">
        <f>AE57</f>
        <v>180234</v>
      </c>
      <c r="AH54" s="9">
        <f>AE57</f>
        <v>180234</v>
      </c>
      <c r="AI54" s="9">
        <f>AE57</f>
        <v>180234</v>
      </c>
      <c r="AJ54" s="59">
        <f>AI54</f>
        <v>180234</v>
      </c>
      <c r="AK54" s="9">
        <f>AJ57</f>
        <v>384053</v>
      </c>
      <c r="AL54" s="9">
        <f>AJ57</f>
        <v>384053</v>
      </c>
      <c r="AM54" s="9">
        <f>AJ57</f>
        <v>384053</v>
      </c>
      <c r="AN54" s="9">
        <f>AJ57</f>
        <v>384053</v>
      </c>
      <c r="AO54" s="59">
        <f>AN54</f>
        <v>384053</v>
      </c>
      <c r="AP54" s="9">
        <f>AO57</f>
        <v>448776</v>
      </c>
      <c r="AQ54" s="9">
        <f>AO57</f>
        <v>448776</v>
      </c>
      <c r="AR54" s="9">
        <f>AO57</f>
        <v>448776</v>
      </c>
      <c r="AS54" s="9">
        <f>AO57</f>
        <v>448776</v>
      </c>
      <c r="AT54" s="59">
        <f>AS54</f>
        <v>448776</v>
      </c>
      <c r="AU54" s="9">
        <f>AT57</f>
        <v>522150</v>
      </c>
      <c r="AV54" s="9">
        <f>AT57</f>
        <v>522150</v>
      </c>
      <c r="AW54" s="9">
        <f>AT57</f>
        <v>522150</v>
      </c>
      <c r="AX54" s="9">
        <f>AT57</f>
        <v>522150</v>
      </c>
      <c r="AY54" s="59">
        <f>AX54</f>
        <v>522150</v>
      </c>
      <c r="AZ54" s="9">
        <f>AY57</f>
        <v>582532</v>
      </c>
      <c r="BA54" s="9">
        <f>AY57</f>
        <v>582532</v>
      </c>
      <c r="BB54" s="9">
        <f>AY57</f>
        <v>582532</v>
      </c>
      <c r="BC54" s="9">
        <f>AY57</f>
        <v>582532</v>
      </c>
      <c r="BD54" s="59">
        <f>BC54</f>
        <v>582532</v>
      </c>
      <c r="BE54" s="9">
        <f>BD57</f>
        <v>623855</v>
      </c>
      <c r="BF54" s="9">
        <f>BD57</f>
        <v>623855</v>
      </c>
      <c r="BG54" s="9">
        <f>BD57</f>
        <v>623855</v>
      </c>
      <c r="BH54" s="9">
        <f>BD57</f>
        <v>623855</v>
      </c>
      <c r="BI54" s="59">
        <f>BH54</f>
        <v>623855</v>
      </c>
      <c r="BJ54" s="9">
        <f>BI57</f>
        <v>909900</v>
      </c>
      <c r="BK54" s="9">
        <f>BI57</f>
        <v>909900</v>
      </c>
      <c r="BL54" s="9">
        <f>BI57</f>
        <v>909900</v>
      </c>
      <c r="BM54" s="9">
        <f>BI57</f>
        <v>909900</v>
      </c>
      <c r="BN54" s="59">
        <f>BM54</f>
        <v>909900</v>
      </c>
      <c r="BO54" s="9">
        <f>BN57</f>
        <v>544358</v>
      </c>
      <c r="BP54" s="9">
        <f>BN57</f>
        <v>544358</v>
      </c>
      <c r="BQ54" s="9">
        <f>BN57</f>
        <v>544358</v>
      </c>
      <c r="BR54" s="9">
        <f>BN57</f>
        <v>544358</v>
      </c>
      <c r="BS54" s="59">
        <f>BR54</f>
        <v>544358</v>
      </c>
      <c r="BT54" s="9">
        <f>BS55</f>
        <v>682984</v>
      </c>
      <c r="BU54" s="9">
        <f>BS55</f>
        <v>682984</v>
      </c>
      <c r="BV54" s="9">
        <f>BS55</f>
        <v>682984</v>
      </c>
      <c r="BW54" s="9">
        <f>BS55</f>
        <v>682984</v>
      </c>
      <c r="BX54" s="59">
        <f>BW54</f>
        <v>682984</v>
      </c>
      <c r="BY54" s="9">
        <f>BX55</f>
        <v>878553</v>
      </c>
      <c r="BZ54" s="9">
        <f>BX55</f>
        <v>878553</v>
      </c>
      <c r="CA54" s="9">
        <f>BX55</f>
        <v>878553</v>
      </c>
      <c r="CB54" s="9">
        <f>BX55</f>
        <v>878553</v>
      </c>
      <c r="CC54" s="59">
        <f>CB54</f>
        <v>878553</v>
      </c>
      <c r="CD54" s="9">
        <f>CC55</f>
        <v>709105</v>
      </c>
      <c r="CE54" s="9">
        <f>CC55</f>
        <v>709105</v>
      </c>
      <c r="CF54" s="9">
        <f>CC55</f>
        <v>709105</v>
      </c>
      <c r="CG54" s="9">
        <f>CC55</f>
        <v>709105</v>
      </c>
      <c r="CH54" s="59">
        <f>CG54</f>
        <v>709105</v>
      </c>
      <c r="CI54" s="9">
        <f>CH55</f>
        <v>698209</v>
      </c>
      <c r="CJ54" s="9">
        <f>$CH$55</f>
        <v>698209</v>
      </c>
      <c r="CK54" s="9">
        <f>$CH$55</f>
        <v>698209</v>
      </c>
      <c r="CL54" s="9">
        <f>$CH$55</f>
        <v>698209</v>
      </c>
      <c r="CM54" s="59">
        <f>CL54</f>
        <v>698209</v>
      </c>
      <c r="CN54" s="9">
        <f>$CM$55</f>
        <v>514674</v>
      </c>
      <c r="CO54" s="9">
        <f>$CM$55</f>
        <v>514674</v>
      </c>
      <c r="CP54" s="9"/>
      <c r="CQ54" s="9"/>
      <c r="CR54" s="59">
        <f>CQ54</f>
        <v>0</v>
      </c>
    </row>
    <row r="55" spans="1:96" s="2" customFormat="1" ht="11.15" customHeight="1" x14ac:dyDescent="0.25">
      <c r="A55" s="6" t="s">
        <v>204</v>
      </c>
      <c r="B55" s="12">
        <f t="shared" ref="B55:E55" si="98">SUM(B53:B54)</f>
        <v>10853</v>
      </c>
      <c r="C55" s="12">
        <f t="shared" si="98"/>
        <v>11282</v>
      </c>
      <c r="D55" s="12">
        <f t="shared" si="98"/>
        <v>11357</v>
      </c>
      <c r="E55" s="12">
        <f t="shared" si="98"/>
        <v>75667</v>
      </c>
      <c r="F55" s="60">
        <f>E55</f>
        <v>75667</v>
      </c>
      <c r="G55" s="12">
        <f t="shared" ref="G55:J55" si="99">SUM(G53:G54)</f>
        <v>49129</v>
      </c>
      <c r="H55" s="12">
        <f t="shared" si="99"/>
        <v>46709</v>
      </c>
      <c r="I55" s="12">
        <f t="shared" si="99"/>
        <v>44750</v>
      </c>
      <c r="J55" s="12">
        <f t="shared" si="99"/>
        <v>37972</v>
      </c>
      <c r="K55" s="60">
        <f>J55</f>
        <v>37972</v>
      </c>
      <c r="L55" s="12">
        <f t="shared" ref="L55:O55" si="100">SUM(L53:L54)</f>
        <v>38698</v>
      </c>
      <c r="M55" s="12">
        <f t="shared" si="100"/>
        <v>44926</v>
      </c>
      <c r="N55" s="12">
        <f t="shared" si="100"/>
        <v>44339</v>
      </c>
      <c r="O55" s="12">
        <f t="shared" si="100"/>
        <v>51283</v>
      </c>
      <c r="P55" s="60">
        <f>O55</f>
        <v>51283</v>
      </c>
      <c r="Q55" s="12">
        <f t="shared" ref="Q55:T55" si="101">SUM(Q53:Q54)</f>
        <v>71601</v>
      </c>
      <c r="R55" s="12">
        <f t="shared" si="101"/>
        <v>78068</v>
      </c>
      <c r="S55" s="12">
        <f t="shared" si="101"/>
        <v>76309</v>
      </c>
      <c r="T55" s="12">
        <f t="shared" si="101"/>
        <v>82920</v>
      </c>
      <c r="U55" s="60">
        <f>T55</f>
        <v>82920</v>
      </c>
      <c r="V55" s="12">
        <f t="shared" ref="V55:Y55" si="102">SUM(V53:V54)</f>
        <v>84407</v>
      </c>
      <c r="W55" s="12">
        <f t="shared" si="102"/>
        <v>90655</v>
      </c>
      <c r="X55" s="12">
        <f t="shared" si="102"/>
        <v>96630</v>
      </c>
      <c r="Y55" s="12">
        <f t="shared" si="102"/>
        <v>147860</v>
      </c>
      <c r="Z55" s="60">
        <f>Y55</f>
        <v>147860</v>
      </c>
      <c r="AA55" s="12">
        <f t="shared" ref="AA55:AD55" si="103">SUM(AA53:AA54)</f>
        <v>160618</v>
      </c>
      <c r="AB55" s="12">
        <f t="shared" si="103"/>
        <v>188196</v>
      </c>
      <c r="AC55" s="12">
        <f t="shared" si="103"/>
        <v>196586</v>
      </c>
      <c r="AD55" s="12">
        <f t="shared" si="103"/>
        <v>180234</v>
      </c>
      <c r="AE55" s="60">
        <f>AD55</f>
        <v>180234</v>
      </c>
      <c r="AF55" s="12">
        <f t="shared" ref="AF55:AI55" si="104">SUM(AF53:AF54)</f>
        <v>377071</v>
      </c>
      <c r="AG55" s="12">
        <f t="shared" si="104"/>
        <v>345578</v>
      </c>
      <c r="AH55" s="12">
        <f t="shared" si="104"/>
        <v>372569</v>
      </c>
      <c r="AI55" s="12">
        <f t="shared" si="104"/>
        <v>384053</v>
      </c>
      <c r="AJ55" s="60">
        <f>AI55</f>
        <v>384053</v>
      </c>
      <c r="AK55" s="12">
        <f t="shared" ref="AK55:AN55" si="105">SUM(AK53:AK54)</f>
        <v>355715</v>
      </c>
      <c r="AL55" s="12">
        <f t="shared" si="105"/>
        <v>369484</v>
      </c>
      <c r="AM55" s="12">
        <f t="shared" si="105"/>
        <v>398355</v>
      </c>
      <c r="AN55" s="12">
        <f t="shared" si="105"/>
        <v>448776</v>
      </c>
      <c r="AO55" s="60">
        <f>AN55</f>
        <v>448776</v>
      </c>
      <c r="AP55" s="12">
        <f t="shared" ref="AP55:AS55" si="106">SUM(AP53:AP54)</f>
        <v>480609</v>
      </c>
      <c r="AQ55" s="12">
        <f t="shared" si="106"/>
        <v>483432</v>
      </c>
      <c r="AR55" s="12">
        <f t="shared" si="106"/>
        <v>487518</v>
      </c>
      <c r="AS55" s="12">
        <f t="shared" si="106"/>
        <v>522150</v>
      </c>
      <c r="AT55" s="60">
        <f>AS55</f>
        <v>522150</v>
      </c>
      <c r="AU55" s="12">
        <f t="shared" ref="AU55:AX55" si="107">SUM(AU53:AU54)</f>
        <v>541474</v>
      </c>
      <c r="AV55" s="12">
        <f t="shared" si="107"/>
        <v>571508</v>
      </c>
      <c r="AW55" s="12">
        <f t="shared" si="107"/>
        <v>651220</v>
      </c>
      <c r="AX55" s="12">
        <f t="shared" si="107"/>
        <v>582532</v>
      </c>
      <c r="AY55" s="60">
        <f>AX55</f>
        <v>582532</v>
      </c>
      <c r="AZ55" s="12">
        <f t="shared" ref="AZ55:BC55" si="108">SUM(AZ53:AZ54)</f>
        <v>613692</v>
      </c>
      <c r="BA55" s="12">
        <f t="shared" si="108"/>
        <v>587286</v>
      </c>
      <c r="BB55" s="12">
        <f t="shared" si="108"/>
        <v>645558</v>
      </c>
      <c r="BC55" s="12">
        <f t="shared" si="108"/>
        <v>623855</v>
      </c>
      <c r="BD55" s="60">
        <f>BC55</f>
        <v>623855</v>
      </c>
      <c r="BE55" s="12">
        <f t="shared" ref="BE55:BH55" si="109">SUM(BE53:BE54)</f>
        <v>697778</v>
      </c>
      <c r="BF55" s="12">
        <f t="shared" si="109"/>
        <v>808111</v>
      </c>
      <c r="BG55" s="12">
        <f t="shared" si="109"/>
        <v>880267</v>
      </c>
      <c r="BH55" s="12">
        <f t="shared" si="109"/>
        <v>909900</v>
      </c>
      <c r="BI55" s="60">
        <f>BH55</f>
        <v>909900</v>
      </c>
      <c r="BJ55" s="12">
        <f t="shared" ref="BJ55:BK55" si="110">SUM(BJ53:BJ54)</f>
        <v>969123</v>
      </c>
      <c r="BK55" s="12">
        <f t="shared" si="110"/>
        <v>816792</v>
      </c>
      <c r="BL55" s="12">
        <f t="shared" ref="BL55:BM55" si="111">SUM(BL53:BL54)</f>
        <v>647606</v>
      </c>
      <c r="BM55" s="12">
        <f t="shared" si="111"/>
        <v>544358</v>
      </c>
      <c r="BN55" s="60">
        <f>BM55</f>
        <v>544358</v>
      </c>
      <c r="BO55" s="12">
        <f t="shared" ref="BO55:BP55" si="112">SUM(BO53:BO54)</f>
        <v>551804</v>
      </c>
      <c r="BP55" s="12">
        <f t="shared" si="112"/>
        <v>532977</v>
      </c>
      <c r="BQ55" s="12">
        <f t="shared" ref="BQ55:BR55" si="113">SUM(BQ53:BQ54)</f>
        <v>583118</v>
      </c>
      <c r="BR55" s="12">
        <f t="shared" si="113"/>
        <v>682984</v>
      </c>
      <c r="BS55" s="60">
        <f>BR55</f>
        <v>682984</v>
      </c>
      <c r="BT55" s="12">
        <f t="shared" ref="BT55:BU55" si="114">SUM(BT53:BT54)</f>
        <v>572341</v>
      </c>
      <c r="BU55" s="12">
        <f t="shared" si="114"/>
        <v>750042</v>
      </c>
      <c r="BV55" s="12">
        <f t="shared" ref="BV55:BW55" si="115">SUM(BV53:BV54)</f>
        <v>766050</v>
      </c>
      <c r="BW55" s="12">
        <f t="shared" si="115"/>
        <v>878553</v>
      </c>
      <c r="BX55" s="60">
        <f>BW55</f>
        <v>878553</v>
      </c>
      <c r="BY55" s="12">
        <f t="shared" ref="BY55:BZ55" si="116">SUM(BY53:BY54)</f>
        <v>896741</v>
      </c>
      <c r="BZ55" s="12">
        <f t="shared" si="116"/>
        <v>754199</v>
      </c>
      <c r="CA55" s="12">
        <f t="shared" ref="CA55" si="117">SUM(CA53:CA54)</f>
        <v>794904</v>
      </c>
      <c r="CB55" s="12">
        <f>SUM(CB53:CB54)</f>
        <v>709105</v>
      </c>
      <c r="CC55" s="60">
        <f>CB55</f>
        <v>709105</v>
      </c>
      <c r="CD55" s="12">
        <f t="shared" ref="CD55" si="118">SUM(CD53:CD54)</f>
        <v>642517</v>
      </c>
      <c r="CE55" s="12">
        <f>SUM(CE53:CE54)</f>
        <v>771788</v>
      </c>
      <c r="CF55" s="12">
        <f>SUM(CF53:CF54)</f>
        <v>869274</v>
      </c>
      <c r="CG55" s="12">
        <f>SUM(CG53:CG54)</f>
        <v>698209</v>
      </c>
      <c r="CH55" s="60">
        <f>CG55</f>
        <v>698209</v>
      </c>
      <c r="CI55" s="12">
        <f>SUM(CI53:CI54)</f>
        <v>521137</v>
      </c>
      <c r="CJ55" s="12">
        <f>SUM(CJ53:CJ54)</f>
        <v>573071</v>
      </c>
      <c r="CK55" s="12">
        <f>SUM(CK53:CK54)</f>
        <v>528284</v>
      </c>
      <c r="CL55" s="12">
        <f>SUM(CL53:CL54)</f>
        <v>514674</v>
      </c>
      <c r="CM55" s="60">
        <f>CL55</f>
        <v>514674</v>
      </c>
      <c r="CN55" s="12">
        <f>SUM(CN53:CN54)</f>
        <v>496452</v>
      </c>
      <c r="CO55" s="12">
        <f>SUM(CO53:CO54)</f>
        <v>720540</v>
      </c>
      <c r="CP55" s="12"/>
      <c r="CQ55" s="12"/>
      <c r="CR55" s="60">
        <f>CQ55</f>
        <v>0</v>
      </c>
    </row>
    <row r="56" spans="1:96" s="2" customFormat="1" ht="11.15" customHeight="1" x14ac:dyDescent="0.25">
      <c r="A56" s="6" t="s">
        <v>216</v>
      </c>
      <c r="B56" s="36">
        <v>0</v>
      </c>
      <c r="C56" s="36">
        <v>0</v>
      </c>
      <c r="D56" s="36">
        <v>0</v>
      </c>
      <c r="E56" s="36">
        <v>0</v>
      </c>
      <c r="F56" s="61">
        <f>E56</f>
        <v>0</v>
      </c>
      <c r="G56" s="36">
        <v>0</v>
      </c>
      <c r="H56" s="36">
        <v>0</v>
      </c>
      <c r="I56" s="36">
        <v>0</v>
      </c>
      <c r="J56" s="36">
        <v>0</v>
      </c>
      <c r="K56" s="61">
        <f>J56</f>
        <v>0</v>
      </c>
      <c r="L56" s="36">
        <v>0</v>
      </c>
      <c r="M56" s="36">
        <v>0</v>
      </c>
      <c r="N56" s="36">
        <v>0</v>
      </c>
      <c r="O56" s="36">
        <v>0</v>
      </c>
      <c r="P56" s="61">
        <f>O56</f>
        <v>0</v>
      </c>
      <c r="Q56" s="36">
        <v>0</v>
      </c>
      <c r="R56" s="36">
        <v>0</v>
      </c>
      <c r="S56" s="36">
        <v>0</v>
      </c>
      <c r="T56" s="36">
        <v>0</v>
      </c>
      <c r="U56" s="61">
        <f>T56</f>
        <v>0</v>
      </c>
      <c r="V56" s="36">
        <v>0</v>
      </c>
      <c r="W56" s="36">
        <v>0</v>
      </c>
      <c r="X56" s="36">
        <v>0</v>
      </c>
      <c r="Y56" s="36">
        <v>0</v>
      </c>
      <c r="Z56" s="61">
        <f>Y56</f>
        <v>0</v>
      </c>
      <c r="AA56" s="36">
        <v>0</v>
      </c>
      <c r="AB56" s="36">
        <v>0</v>
      </c>
      <c r="AC56" s="36">
        <v>0</v>
      </c>
      <c r="AD56" s="36">
        <v>0</v>
      </c>
      <c r="AE56" s="61">
        <f>AD56</f>
        <v>0</v>
      </c>
      <c r="AF56" s="36">
        <v>0</v>
      </c>
      <c r="AG56" s="36">
        <v>0</v>
      </c>
      <c r="AH56" s="36">
        <v>0</v>
      </c>
      <c r="AI56" s="36">
        <v>0</v>
      </c>
      <c r="AJ56" s="61">
        <f>AI56</f>
        <v>0</v>
      </c>
      <c r="AK56" s="36">
        <v>0</v>
      </c>
      <c r="AL56" s="36">
        <v>0</v>
      </c>
      <c r="AM56" s="36">
        <v>0</v>
      </c>
      <c r="AN56" s="36">
        <v>0</v>
      </c>
      <c r="AO56" s="61">
        <f>AN56</f>
        <v>0</v>
      </c>
      <c r="AP56" s="36">
        <v>0</v>
      </c>
      <c r="AQ56" s="36">
        <v>0</v>
      </c>
      <c r="AR56" s="36">
        <v>0</v>
      </c>
      <c r="AS56" s="36">
        <v>0</v>
      </c>
      <c r="AT56" s="61">
        <f>AS56</f>
        <v>0</v>
      </c>
      <c r="AU56" s="36">
        <v>0</v>
      </c>
      <c r="AV56" s="36">
        <v>0</v>
      </c>
      <c r="AW56" s="36">
        <v>0</v>
      </c>
      <c r="AX56" s="36">
        <v>0</v>
      </c>
      <c r="AY56" s="61">
        <f>AX56</f>
        <v>0</v>
      </c>
      <c r="AZ56" s="36">
        <v>0</v>
      </c>
      <c r="BA56" s="36">
        <v>0</v>
      </c>
      <c r="BB56" s="36">
        <v>0</v>
      </c>
      <c r="BC56" s="36">
        <v>0</v>
      </c>
      <c r="BD56" s="61">
        <f>BC56</f>
        <v>0</v>
      </c>
      <c r="BE56" s="36">
        <v>0</v>
      </c>
      <c r="BF56" s="36">
        <v>0</v>
      </c>
      <c r="BG56" s="36">
        <v>0</v>
      </c>
      <c r="BH56" s="36">
        <v>0</v>
      </c>
      <c r="BI56" s="61">
        <f>BH56</f>
        <v>0</v>
      </c>
      <c r="BJ56" s="36">
        <v>0</v>
      </c>
      <c r="BK56" s="36">
        <v>0</v>
      </c>
      <c r="BL56" s="36">
        <v>0</v>
      </c>
      <c r="BM56" s="36">
        <v>0</v>
      </c>
      <c r="BN56" s="61">
        <f>BM56</f>
        <v>0</v>
      </c>
      <c r="BO56" s="36">
        <v>2866</v>
      </c>
      <c r="BP56" s="36">
        <v>2964</v>
      </c>
      <c r="BQ56" s="36">
        <v>2789</v>
      </c>
      <c r="BR56" s="36">
        <v>2914</v>
      </c>
      <c r="BS56" s="61">
        <f>BR56</f>
        <v>2914</v>
      </c>
      <c r="BT56" s="36">
        <v>2283</v>
      </c>
      <c r="BU56" s="36">
        <v>2183</v>
      </c>
      <c r="BV56" s="36">
        <v>2130</v>
      </c>
      <c r="BW56" s="36">
        <v>2322</v>
      </c>
      <c r="BX56" s="61">
        <f>BW56</f>
        <v>2322</v>
      </c>
      <c r="BY56" s="36"/>
      <c r="BZ56" s="36"/>
      <c r="CA56" s="36"/>
      <c r="CB56" s="36"/>
      <c r="CC56" s="61">
        <f>CB56</f>
        <v>0</v>
      </c>
      <c r="CD56" s="36"/>
      <c r="CE56" s="36"/>
      <c r="CF56" s="36"/>
      <c r="CG56" s="36"/>
      <c r="CH56" s="61">
        <f>CG56</f>
        <v>0</v>
      </c>
      <c r="CI56" s="36"/>
      <c r="CJ56" s="36"/>
      <c r="CK56" s="36"/>
      <c r="CL56" s="36"/>
      <c r="CM56" s="61">
        <f>CL56</f>
        <v>0</v>
      </c>
      <c r="CN56" s="36"/>
      <c r="CO56" s="36"/>
      <c r="CP56" s="36"/>
      <c r="CQ56" s="36"/>
      <c r="CR56" s="61">
        <f>CQ56</f>
        <v>0</v>
      </c>
    </row>
    <row r="57" spans="1:96" s="110" customFormat="1" ht="11.15" customHeight="1" thickBot="1" x14ac:dyDescent="0.3">
      <c r="A57" s="106" t="s">
        <v>207</v>
      </c>
      <c r="B57" s="107">
        <f>B55-B56</f>
        <v>10853</v>
      </c>
      <c r="C57" s="108">
        <f>C55-C56</f>
        <v>11282</v>
      </c>
      <c r="D57" s="108">
        <f t="shared" ref="D57" si="119">D55-D56</f>
        <v>11357</v>
      </c>
      <c r="E57" s="109">
        <f t="shared" ref="E57" si="120">E55-E56</f>
        <v>75667</v>
      </c>
      <c r="F57" s="92">
        <f t="shared" ref="F57" si="121">F55-F56</f>
        <v>75667</v>
      </c>
      <c r="G57" s="107">
        <f>G55-G56</f>
        <v>49129</v>
      </c>
      <c r="H57" s="108">
        <f>H55-H56</f>
        <v>46709</v>
      </c>
      <c r="I57" s="108">
        <f t="shared" ref="I57" si="122">I55-I56</f>
        <v>44750</v>
      </c>
      <c r="J57" s="109">
        <f t="shared" ref="J57" si="123">J55-J56</f>
        <v>37972</v>
      </c>
      <c r="K57" s="92">
        <f t="shared" ref="K57" si="124">K55-K56</f>
        <v>37972</v>
      </c>
      <c r="L57" s="107">
        <f>L55-L56</f>
        <v>38698</v>
      </c>
      <c r="M57" s="108">
        <f>M55-M56</f>
        <v>44926</v>
      </c>
      <c r="N57" s="108">
        <f t="shared" ref="N57" si="125">N55-N56</f>
        <v>44339</v>
      </c>
      <c r="O57" s="109">
        <f t="shared" ref="O57" si="126">O55-O56</f>
        <v>51283</v>
      </c>
      <c r="P57" s="92">
        <f t="shared" ref="P57" si="127">P55-P56</f>
        <v>51283</v>
      </c>
      <c r="Q57" s="107">
        <f>Q55-Q56</f>
        <v>71601</v>
      </c>
      <c r="R57" s="108">
        <f>R55-R56</f>
        <v>78068</v>
      </c>
      <c r="S57" s="108">
        <f t="shared" ref="S57" si="128">S55-S56</f>
        <v>76309</v>
      </c>
      <c r="T57" s="109">
        <f t="shared" ref="T57" si="129">T55-T56</f>
        <v>82920</v>
      </c>
      <c r="U57" s="92">
        <f t="shared" ref="U57" si="130">U55-U56</f>
        <v>82920</v>
      </c>
      <c r="V57" s="107">
        <f>V55-V56</f>
        <v>84407</v>
      </c>
      <c r="W57" s="108">
        <f>W55-W56</f>
        <v>90655</v>
      </c>
      <c r="X57" s="108">
        <f t="shared" ref="X57" si="131">X55-X56</f>
        <v>96630</v>
      </c>
      <c r="Y57" s="109">
        <f t="shared" ref="Y57" si="132">Y55-Y56</f>
        <v>147860</v>
      </c>
      <c r="Z57" s="92">
        <f t="shared" ref="Z57" si="133">Z55-Z56</f>
        <v>147860</v>
      </c>
      <c r="AA57" s="107">
        <f>AA55-AA56</f>
        <v>160618</v>
      </c>
      <c r="AB57" s="108">
        <f>AB55-AB56</f>
        <v>188196</v>
      </c>
      <c r="AC57" s="108">
        <f t="shared" ref="AC57" si="134">AC55-AC56</f>
        <v>196586</v>
      </c>
      <c r="AD57" s="109">
        <f t="shared" ref="AD57" si="135">AD55-AD56</f>
        <v>180234</v>
      </c>
      <c r="AE57" s="92">
        <f t="shared" ref="AE57" si="136">AE55-AE56</f>
        <v>180234</v>
      </c>
      <c r="AF57" s="107">
        <f>AF55-AF56</f>
        <v>377071</v>
      </c>
      <c r="AG57" s="108">
        <f>AG55-AG56</f>
        <v>345578</v>
      </c>
      <c r="AH57" s="108">
        <f t="shared" ref="AH57" si="137">AH55-AH56</f>
        <v>372569</v>
      </c>
      <c r="AI57" s="109">
        <f t="shared" ref="AI57" si="138">AI55-AI56</f>
        <v>384053</v>
      </c>
      <c r="AJ57" s="92">
        <f t="shared" ref="AJ57" si="139">AJ55-AJ56</f>
        <v>384053</v>
      </c>
      <c r="AK57" s="107">
        <f>AK55-AK56</f>
        <v>355715</v>
      </c>
      <c r="AL57" s="108">
        <f>AL55-AL56</f>
        <v>369484</v>
      </c>
      <c r="AM57" s="108">
        <f t="shared" ref="AM57" si="140">AM55-AM56</f>
        <v>398355</v>
      </c>
      <c r="AN57" s="109">
        <f t="shared" ref="AN57" si="141">AN55-AN56</f>
        <v>448776</v>
      </c>
      <c r="AO57" s="92">
        <f t="shared" ref="AO57" si="142">AO55-AO56</f>
        <v>448776</v>
      </c>
      <c r="AP57" s="107">
        <f>AP55-AP56</f>
        <v>480609</v>
      </c>
      <c r="AQ57" s="108">
        <f>AQ55-AQ56</f>
        <v>483432</v>
      </c>
      <c r="AR57" s="108">
        <f t="shared" ref="AR57" si="143">AR55-AR56</f>
        <v>487518</v>
      </c>
      <c r="AS57" s="109">
        <f t="shared" ref="AS57" si="144">AS55-AS56</f>
        <v>522150</v>
      </c>
      <c r="AT57" s="92">
        <f t="shared" ref="AT57" si="145">AT55-AT56</f>
        <v>522150</v>
      </c>
      <c r="AU57" s="107">
        <f>AU55-AU56</f>
        <v>541474</v>
      </c>
      <c r="AV57" s="108">
        <f>AV55-AV56</f>
        <v>571508</v>
      </c>
      <c r="AW57" s="108">
        <f t="shared" ref="AW57" si="146">AW55-AW56</f>
        <v>651220</v>
      </c>
      <c r="AX57" s="109">
        <f t="shared" ref="AX57" si="147">AX55-AX56</f>
        <v>582532</v>
      </c>
      <c r="AY57" s="92">
        <f t="shared" ref="AY57" si="148">AY55-AY56</f>
        <v>582532</v>
      </c>
      <c r="AZ57" s="107">
        <f>AZ55-AZ56</f>
        <v>613692</v>
      </c>
      <c r="BA57" s="108">
        <f>BA55-BA56</f>
        <v>587286</v>
      </c>
      <c r="BB57" s="108">
        <f t="shared" ref="BB57" si="149">BB55-BB56</f>
        <v>645558</v>
      </c>
      <c r="BC57" s="109">
        <f t="shared" ref="BC57" si="150">BC55-BC56</f>
        <v>623855</v>
      </c>
      <c r="BD57" s="92">
        <f t="shared" ref="BD57" si="151">BD55-BD56</f>
        <v>623855</v>
      </c>
      <c r="BE57" s="107">
        <f>BE55-BE56</f>
        <v>697778</v>
      </c>
      <c r="BF57" s="108">
        <f>BF55-BF56</f>
        <v>808111</v>
      </c>
      <c r="BG57" s="108">
        <f t="shared" ref="BG57" si="152">BG55-BG56</f>
        <v>880267</v>
      </c>
      <c r="BH57" s="109">
        <f t="shared" ref="BH57" si="153">BH55-BH56</f>
        <v>909900</v>
      </c>
      <c r="BI57" s="92">
        <f t="shared" ref="BI57" si="154">BI55-BI56</f>
        <v>909900</v>
      </c>
      <c r="BJ57" s="107">
        <f>BJ55-BJ56</f>
        <v>969123</v>
      </c>
      <c r="BK57" s="108">
        <f>BK55-BK56</f>
        <v>816792</v>
      </c>
      <c r="BL57" s="108">
        <f t="shared" ref="BL57:BN57" si="155">BL55-BL56</f>
        <v>647606</v>
      </c>
      <c r="BM57" s="109">
        <f t="shared" si="155"/>
        <v>544358</v>
      </c>
      <c r="BN57" s="92">
        <f t="shared" si="155"/>
        <v>544358</v>
      </c>
      <c r="BO57" s="107">
        <f>BO55-BO56</f>
        <v>548938</v>
      </c>
      <c r="BP57" s="108">
        <f>BP55-BP56</f>
        <v>530013</v>
      </c>
      <c r="BQ57" s="108">
        <f>BQ55-BQ56</f>
        <v>580329</v>
      </c>
      <c r="BR57" s="109">
        <f t="shared" ref="BR57:BS57" si="156">BR55-BR56</f>
        <v>680070</v>
      </c>
      <c r="BS57" s="92">
        <f t="shared" si="156"/>
        <v>680070</v>
      </c>
      <c r="BT57" s="107">
        <f>BT55-BT56</f>
        <v>570058</v>
      </c>
      <c r="BU57" s="108">
        <f>BU55-BU56</f>
        <v>747859</v>
      </c>
      <c r="BV57" s="108">
        <f>BV55-BV56</f>
        <v>763920</v>
      </c>
      <c r="BW57" s="108">
        <f>BW55-BW56</f>
        <v>876231</v>
      </c>
      <c r="BX57" s="92">
        <f t="shared" ref="BX57" si="157">BX55-BX56</f>
        <v>876231</v>
      </c>
      <c r="BY57" s="107">
        <f>BY55-BY56</f>
        <v>896741</v>
      </c>
      <c r="BZ57" s="108">
        <f>BZ55-BZ56</f>
        <v>754199</v>
      </c>
      <c r="CA57" s="108">
        <f>CA55-CA56</f>
        <v>794904</v>
      </c>
      <c r="CB57" s="108">
        <f>CB55-CB56</f>
        <v>709105</v>
      </c>
      <c r="CC57" s="92">
        <f t="shared" ref="CC57" si="158">CC55-CC56</f>
        <v>709105</v>
      </c>
      <c r="CD57" s="107">
        <f>CD55-CD56</f>
        <v>642517</v>
      </c>
      <c r="CE57" s="108">
        <f>CE55-CE56</f>
        <v>771788</v>
      </c>
      <c r="CF57" s="108">
        <f>CF55-CF56</f>
        <v>869274</v>
      </c>
      <c r="CG57" s="108">
        <f>CG55-CG56</f>
        <v>698209</v>
      </c>
      <c r="CH57" s="92">
        <f t="shared" ref="CH57" si="159">CH55-CH56</f>
        <v>698209</v>
      </c>
      <c r="CI57" s="108">
        <f>CI55-CI56</f>
        <v>521137</v>
      </c>
      <c r="CJ57" s="108">
        <f>CJ55-CJ56</f>
        <v>573071</v>
      </c>
      <c r="CK57" s="108">
        <f>CK55-CK56</f>
        <v>528284</v>
      </c>
      <c r="CL57" s="108">
        <f>CL55-CL56</f>
        <v>514674</v>
      </c>
      <c r="CM57" s="92">
        <f t="shared" ref="CM57" si="160">CM55-CM56</f>
        <v>514674</v>
      </c>
      <c r="CN57" s="108">
        <f>CN55-CN56</f>
        <v>496452</v>
      </c>
      <c r="CO57" s="108">
        <f>CO55-CO56</f>
        <v>720540</v>
      </c>
      <c r="CP57" s="108"/>
      <c r="CQ57" s="108"/>
      <c r="CR57" s="92">
        <f t="shared" ref="CR57" si="161">CR55-CR56</f>
        <v>0</v>
      </c>
    </row>
    <row r="58" spans="1:96" s="2" customFormat="1" ht="11.15" customHeight="1" thickTop="1" x14ac:dyDescent="0.25">
      <c r="A58" s="6"/>
      <c r="B58" s="34"/>
      <c r="C58" s="34"/>
      <c r="D58" s="34"/>
      <c r="E58" s="34"/>
      <c r="F58" s="58"/>
      <c r="G58" s="34"/>
      <c r="H58" s="34"/>
      <c r="I58" s="34"/>
      <c r="J58" s="34"/>
      <c r="K58" s="58"/>
      <c r="L58" s="34"/>
      <c r="M58" s="34"/>
      <c r="N58" s="34"/>
      <c r="O58" s="34"/>
      <c r="P58" s="58"/>
      <c r="Q58" s="34"/>
      <c r="R58" s="34"/>
      <c r="S58" s="34"/>
      <c r="T58" s="34"/>
      <c r="U58" s="58"/>
      <c r="V58" s="34"/>
      <c r="W58" s="34"/>
      <c r="X58" s="34"/>
      <c r="Y58" s="34"/>
      <c r="Z58" s="58"/>
      <c r="AA58" s="34"/>
      <c r="AB58" s="34"/>
      <c r="AC58" s="34"/>
      <c r="AD58" s="34"/>
      <c r="AE58" s="58"/>
      <c r="AF58" s="34"/>
      <c r="AG58" s="34"/>
      <c r="AH58" s="34"/>
      <c r="AI58" s="34"/>
      <c r="AJ58" s="58"/>
      <c r="AK58" s="34"/>
      <c r="AL58" s="34"/>
      <c r="AM58" s="34"/>
      <c r="AN58" s="34"/>
      <c r="AO58" s="58"/>
      <c r="AP58" s="34"/>
      <c r="AQ58" s="34"/>
      <c r="AR58" s="34"/>
      <c r="AS58" s="34"/>
      <c r="AT58" s="58"/>
      <c r="AU58" s="34"/>
      <c r="AV58" s="34"/>
      <c r="AW58" s="34"/>
      <c r="AX58" s="34"/>
      <c r="AY58" s="58"/>
      <c r="AZ58" s="34"/>
      <c r="BA58" s="34"/>
      <c r="BB58" s="34"/>
      <c r="BC58" s="34"/>
      <c r="BD58" s="58"/>
      <c r="BE58" s="34"/>
      <c r="BF58" s="34"/>
      <c r="BG58" s="34"/>
      <c r="BH58" s="34"/>
      <c r="BI58" s="58"/>
      <c r="BJ58" s="34"/>
      <c r="BK58" s="34"/>
      <c r="BL58" s="34"/>
      <c r="BM58" s="34"/>
      <c r="BN58" s="58"/>
      <c r="BO58" s="34"/>
      <c r="BP58" s="34"/>
      <c r="BQ58" s="34"/>
      <c r="BR58" s="34"/>
      <c r="BS58" s="58"/>
      <c r="BT58" s="34"/>
      <c r="BU58" s="34"/>
      <c r="BV58" s="34"/>
      <c r="BW58" s="34"/>
      <c r="BX58" s="58"/>
      <c r="BY58" s="34"/>
      <c r="BZ58" s="34"/>
      <c r="CA58" s="34"/>
      <c r="CB58" s="34"/>
      <c r="CC58" s="58"/>
      <c r="CD58" s="34"/>
      <c r="CE58" s="34"/>
      <c r="CF58" s="34"/>
      <c r="CG58" s="34"/>
      <c r="CH58" s="58"/>
      <c r="CI58" s="34"/>
      <c r="CJ58" s="34"/>
      <c r="CK58" s="34"/>
      <c r="CL58" s="34"/>
      <c r="CM58" s="58"/>
      <c r="CN58" s="34"/>
      <c r="CO58" s="34"/>
      <c r="CP58" s="34"/>
      <c r="CQ58" s="34"/>
      <c r="CR58" s="58"/>
    </row>
    <row r="59" spans="1:96" s="2" customFormat="1" ht="11.15" customHeight="1" x14ac:dyDescent="0.25">
      <c r="A59" s="6" t="s">
        <v>205</v>
      </c>
      <c r="B59" s="34"/>
      <c r="C59" s="34"/>
      <c r="D59" s="34"/>
      <c r="E59" s="34"/>
      <c r="F59" s="58"/>
      <c r="G59" s="34"/>
      <c r="H59" s="34"/>
      <c r="I59" s="34"/>
      <c r="J59" s="34"/>
      <c r="K59" s="58"/>
      <c r="L59" s="34"/>
      <c r="M59" s="34"/>
      <c r="N59" s="34"/>
      <c r="O59" s="34"/>
      <c r="P59" s="58"/>
      <c r="Q59" s="34"/>
      <c r="R59" s="34"/>
      <c r="S59" s="34"/>
      <c r="T59" s="34"/>
      <c r="U59" s="58"/>
      <c r="V59" s="34"/>
      <c r="W59" s="34"/>
      <c r="X59" s="34"/>
      <c r="Y59" s="34"/>
      <c r="Z59" s="58"/>
      <c r="AA59" s="34"/>
      <c r="AB59" s="34"/>
      <c r="AC59" s="34"/>
      <c r="AD59" s="34"/>
      <c r="AE59" s="58"/>
      <c r="AF59" s="34"/>
      <c r="AG59" s="34"/>
      <c r="AH59" s="34"/>
      <c r="AI59" s="34"/>
      <c r="AJ59" s="58"/>
      <c r="AK59" s="34"/>
      <c r="AL59" s="34"/>
      <c r="AM59" s="34"/>
      <c r="AN59" s="34"/>
      <c r="AO59" s="58"/>
      <c r="AP59" s="34"/>
      <c r="AQ59" s="34"/>
      <c r="AR59" s="34"/>
      <c r="AS59" s="34"/>
      <c r="AT59" s="58"/>
      <c r="AU59" s="34"/>
      <c r="AV59" s="34"/>
      <c r="AW59" s="34"/>
      <c r="AX59" s="34"/>
      <c r="AY59" s="58"/>
      <c r="AZ59" s="34"/>
      <c r="BA59" s="34"/>
      <c r="BB59" s="34"/>
      <c r="BC59" s="34"/>
      <c r="BD59" s="58"/>
      <c r="BE59" s="34"/>
      <c r="BF59" s="34"/>
      <c r="BG59" s="34"/>
      <c r="BH59" s="34"/>
      <c r="BI59" s="58"/>
      <c r="BJ59" s="34"/>
      <c r="BK59" s="34"/>
      <c r="BL59" s="34"/>
      <c r="BM59" s="34"/>
      <c r="BN59" s="58"/>
      <c r="BO59" s="34"/>
      <c r="BP59" s="34"/>
      <c r="BQ59" s="34"/>
      <c r="BR59" s="34"/>
      <c r="BS59" s="58"/>
      <c r="BT59" s="34"/>
      <c r="BU59" s="34"/>
      <c r="BV59" s="34"/>
      <c r="BW59" s="34"/>
      <c r="BX59" s="58"/>
      <c r="BY59" s="34"/>
      <c r="BZ59" s="34"/>
      <c r="CA59" s="34"/>
      <c r="CB59" s="34"/>
      <c r="CC59" s="58"/>
      <c r="CD59" s="34"/>
      <c r="CE59" s="34"/>
      <c r="CF59" s="34"/>
      <c r="CG59" s="34"/>
      <c r="CH59" s="58"/>
      <c r="CI59" s="34"/>
      <c r="CJ59" s="34"/>
      <c r="CK59" s="34"/>
      <c r="CL59" s="34"/>
      <c r="CM59" s="58"/>
      <c r="CN59" s="34"/>
      <c r="CO59" s="34"/>
      <c r="CP59" s="34"/>
      <c r="CQ59" s="34"/>
      <c r="CR59" s="58"/>
    </row>
    <row r="60" spans="1:96" s="2" customFormat="1" ht="11.15" customHeight="1" x14ac:dyDescent="0.25">
      <c r="A60" s="21" t="s">
        <v>73</v>
      </c>
      <c r="B60" s="38"/>
      <c r="C60" s="38">
        <v>716</v>
      </c>
      <c r="D60" s="38">
        <v>942</v>
      </c>
      <c r="E60" s="38">
        <v>1449</v>
      </c>
      <c r="F60" s="58">
        <f>E60</f>
        <v>1449</v>
      </c>
      <c r="G60" s="38">
        <v>242</v>
      </c>
      <c r="H60" s="38">
        <v>350</v>
      </c>
      <c r="I60" s="38">
        <v>553</v>
      </c>
      <c r="J60" s="38">
        <v>741</v>
      </c>
      <c r="K60" s="58">
        <f>J60</f>
        <v>741</v>
      </c>
      <c r="L60" s="38">
        <v>108</v>
      </c>
      <c r="M60" s="38">
        <v>849</v>
      </c>
      <c r="N60" s="38">
        <v>1317</v>
      </c>
      <c r="O60" s="38">
        <v>1778</v>
      </c>
      <c r="P60" s="58">
        <f>O60</f>
        <v>1778</v>
      </c>
      <c r="Q60" s="38">
        <v>403</v>
      </c>
      <c r="R60" s="38">
        <v>794</v>
      </c>
      <c r="S60" s="38">
        <v>1163</v>
      </c>
      <c r="T60" s="38">
        <v>1461</v>
      </c>
      <c r="U60" s="58">
        <f>T60</f>
        <v>1461</v>
      </c>
      <c r="V60" s="38">
        <v>281</v>
      </c>
      <c r="W60" s="38">
        <v>515</v>
      </c>
      <c r="X60" s="38">
        <v>757</v>
      </c>
      <c r="Y60" s="38">
        <v>998</v>
      </c>
      <c r="Z60" s="58">
        <f>Y60</f>
        <v>998</v>
      </c>
      <c r="AA60" s="38">
        <v>255</v>
      </c>
      <c r="AB60" s="38">
        <v>514</v>
      </c>
      <c r="AC60" s="38">
        <v>809</v>
      </c>
      <c r="AD60" s="38">
        <v>1089</v>
      </c>
      <c r="AE60" s="58">
        <f>AD60</f>
        <v>1089</v>
      </c>
      <c r="AF60" s="38">
        <v>251</v>
      </c>
      <c r="AG60" s="38">
        <v>411</v>
      </c>
      <c r="AH60" s="38">
        <v>553</v>
      </c>
      <c r="AI60" s="38">
        <v>864</v>
      </c>
      <c r="AJ60" s="58">
        <f>AI60</f>
        <v>864</v>
      </c>
      <c r="AK60" s="38">
        <v>88</v>
      </c>
      <c r="AL60" s="38">
        <v>165</v>
      </c>
      <c r="AM60" s="38">
        <v>190</v>
      </c>
      <c r="AN60" s="38">
        <v>208</v>
      </c>
      <c r="AO60" s="58">
        <f>AN60</f>
        <v>208</v>
      </c>
      <c r="AP60" s="38">
        <v>102</v>
      </c>
      <c r="AQ60" s="38">
        <v>223</v>
      </c>
      <c r="AR60" s="38">
        <v>302</v>
      </c>
      <c r="AS60" s="38">
        <v>253</v>
      </c>
      <c r="AT60" s="58">
        <f>AS60</f>
        <v>253</v>
      </c>
      <c r="AU60" s="38">
        <v>293</v>
      </c>
      <c r="AV60" s="38">
        <v>533</v>
      </c>
      <c r="AW60" s="38">
        <v>688</v>
      </c>
      <c r="AX60" s="38">
        <v>873</v>
      </c>
      <c r="AY60" s="58">
        <f>AX60</f>
        <v>873</v>
      </c>
      <c r="AZ60" s="38">
        <v>171</v>
      </c>
      <c r="BA60" s="38">
        <v>349</v>
      </c>
      <c r="BB60" s="38">
        <v>623</v>
      </c>
      <c r="BC60" s="38">
        <v>942</v>
      </c>
      <c r="BD60" s="58">
        <f>BC60</f>
        <v>942</v>
      </c>
      <c r="BE60" s="38">
        <v>447</v>
      </c>
      <c r="BF60" s="38">
        <v>975</v>
      </c>
      <c r="BG60" s="38">
        <v>1965</v>
      </c>
      <c r="BH60" s="38">
        <v>2583</v>
      </c>
      <c r="BI60" s="58">
        <f>BH60</f>
        <v>2583</v>
      </c>
      <c r="BJ60" s="38">
        <v>799</v>
      </c>
      <c r="BK60" s="38">
        <v>1672</v>
      </c>
      <c r="BL60" s="38">
        <v>2402</v>
      </c>
      <c r="BM60" s="38">
        <v>3052</v>
      </c>
      <c r="BN60" s="58">
        <f>BM60</f>
        <v>3052</v>
      </c>
      <c r="BO60" s="38">
        <v>749</v>
      </c>
      <c r="BP60" s="38">
        <v>1164</v>
      </c>
      <c r="BQ60" s="38">
        <v>1655</v>
      </c>
      <c r="BR60" s="38">
        <v>2683</v>
      </c>
      <c r="BS60" s="58">
        <f>BR60</f>
        <v>2683</v>
      </c>
      <c r="BT60" s="38">
        <v>447</v>
      </c>
      <c r="BU60" s="38">
        <v>1061</v>
      </c>
      <c r="BV60" s="38">
        <v>1650</v>
      </c>
      <c r="BW60" s="38">
        <v>2234</v>
      </c>
      <c r="BX60" s="58">
        <f>BW60</f>
        <v>2234</v>
      </c>
      <c r="BY60" s="38">
        <v>703</v>
      </c>
      <c r="BZ60" s="38">
        <v>1388</v>
      </c>
      <c r="CA60" s="38">
        <v>1932</v>
      </c>
      <c r="CB60" s="38">
        <v>2714</v>
      </c>
      <c r="CC60" s="58">
        <f>CB60</f>
        <v>2714</v>
      </c>
      <c r="CD60" s="38">
        <v>857</v>
      </c>
      <c r="CE60" s="38">
        <v>1600</v>
      </c>
      <c r="CF60" s="38">
        <v>2766</v>
      </c>
      <c r="CG60" s="38">
        <v>3214</v>
      </c>
      <c r="CH60" s="58">
        <f>CG60</f>
        <v>3214</v>
      </c>
      <c r="CI60" s="38">
        <v>525</v>
      </c>
      <c r="CJ60" s="38">
        <v>947</v>
      </c>
      <c r="CK60" s="38">
        <v>1110</v>
      </c>
      <c r="CL60" s="38">
        <v>1284</v>
      </c>
      <c r="CM60" s="58">
        <f>CL60</f>
        <v>1284</v>
      </c>
      <c r="CN60" s="38">
        <v>4</v>
      </c>
      <c r="CO60" s="38">
        <v>94</v>
      </c>
      <c r="CP60" s="38"/>
      <c r="CQ60" s="38"/>
      <c r="CR60" s="58">
        <f>CQ60</f>
        <v>0</v>
      </c>
    </row>
    <row r="61" spans="1:96" s="2" customFormat="1" ht="11.15" customHeight="1" x14ac:dyDescent="0.25">
      <c r="A61" s="21" t="s">
        <v>74</v>
      </c>
      <c r="B61" s="38"/>
      <c r="C61" s="38">
        <v>781</v>
      </c>
      <c r="D61" s="38">
        <v>1421</v>
      </c>
      <c r="E61" s="38">
        <v>2010</v>
      </c>
      <c r="F61" s="58">
        <f>E61</f>
        <v>2010</v>
      </c>
      <c r="G61" s="38">
        <v>3889</v>
      </c>
      <c r="H61" s="38">
        <v>13940</v>
      </c>
      <c r="I61" s="38">
        <v>17509</v>
      </c>
      <c r="J61" s="38">
        <v>16788</v>
      </c>
      <c r="K61" s="58">
        <f>J61</f>
        <v>16788</v>
      </c>
      <c r="L61" s="38">
        <v>2915</v>
      </c>
      <c r="M61" s="38">
        <v>5026</v>
      </c>
      <c r="N61" s="38">
        <v>8924</v>
      </c>
      <c r="O61" s="38">
        <v>11751</v>
      </c>
      <c r="P61" s="58">
        <f>O61</f>
        <v>11751</v>
      </c>
      <c r="Q61" s="38">
        <v>2795</v>
      </c>
      <c r="R61" s="38">
        <v>5059</v>
      </c>
      <c r="S61" s="38">
        <v>4595</v>
      </c>
      <c r="T61" s="38">
        <v>4929</v>
      </c>
      <c r="U61" s="58">
        <f>T61</f>
        <v>4929</v>
      </c>
      <c r="V61" s="38">
        <v>1445</v>
      </c>
      <c r="W61" s="38">
        <v>3504</v>
      </c>
      <c r="X61" s="38">
        <v>6363</v>
      </c>
      <c r="Y61" s="38">
        <v>7417</v>
      </c>
      <c r="Z61" s="58">
        <f>Y61</f>
        <v>7417</v>
      </c>
      <c r="AA61" s="38">
        <v>8865</v>
      </c>
      <c r="AB61" s="38">
        <v>14905</v>
      </c>
      <c r="AC61" s="38">
        <v>19465</v>
      </c>
      <c r="AD61" s="38">
        <v>39199</v>
      </c>
      <c r="AE61" s="58">
        <f>AD61</f>
        <v>39199</v>
      </c>
      <c r="AF61" s="38">
        <v>6755</v>
      </c>
      <c r="AG61" s="38">
        <v>14446</v>
      </c>
      <c r="AH61" s="38">
        <v>20967</v>
      </c>
      <c r="AI61" s="38">
        <v>25980</v>
      </c>
      <c r="AJ61" s="58">
        <f>AI61</f>
        <v>25980</v>
      </c>
      <c r="AK61" s="38">
        <v>47813</v>
      </c>
      <c r="AL61" s="38">
        <v>61308</v>
      </c>
      <c r="AM61" s="38">
        <v>74107</v>
      </c>
      <c r="AN61" s="38">
        <v>89611</v>
      </c>
      <c r="AO61" s="58">
        <f>AN61</f>
        <v>89611</v>
      </c>
      <c r="AP61" s="38">
        <v>20893</v>
      </c>
      <c r="AQ61" s="38">
        <v>41525</v>
      </c>
      <c r="AR61" s="38">
        <v>56730</v>
      </c>
      <c r="AS61" s="38">
        <v>73544</v>
      </c>
      <c r="AT61" s="58">
        <f>AS61</f>
        <v>73544</v>
      </c>
      <c r="AU61" s="38">
        <v>11899</v>
      </c>
      <c r="AV61" s="38">
        <v>44728</v>
      </c>
      <c r="AW61" s="38">
        <v>65376</v>
      </c>
      <c r="AX61" s="38">
        <v>91329</v>
      </c>
      <c r="AY61" s="58">
        <f>AX61</f>
        <v>91329</v>
      </c>
      <c r="AZ61" s="38">
        <v>11955</v>
      </c>
      <c r="BA61" s="38">
        <v>66478</v>
      </c>
      <c r="BB61" s="38">
        <v>92539</v>
      </c>
      <c r="BC61" s="38">
        <v>126964</v>
      </c>
      <c r="BD61" s="58">
        <f>BC61</f>
        <v>126964</v>
      </c>
      <c r="BE61" s="38">
        <v>31371</v>
      </c>
      <c r="BF61" s="38">
        <v>80956</v>
      </c>
      <c r="BG61" s="38">
        <v>118660</v>
      </c>
      <c r="BH61" s="38">
        <v>155559</v>
      </c>
      <c r="BI61" s="58">
        <f>BH61</f>
        <v>155559</v>
      </c>
      <c r="BJ61" s="38">
        <v>19546</v>
      </c>
      <c r="BK61" s="38">
        <v>64495</v>
      </c>
      <c r="BL61" s="38">
        <v>94801</v>
      </c>
      <c r="BM61" s="38">
        <v>112762</v>
      </c>
      <c r="BN61" s="58">
        <f>BM61</f>
        <v>112762</v>
      </c>
      <c r="BO61" s="38">
        <v>51438</v>
      </c>
      <c r="BP61" s="38">
        <v>73855</v>
      </c>
      <c r="BQ61" s="38">
        <v>97172</v>
      </c>
      <c r="BR61" s="38">
        <v>116951</v>
      </c>
      <c r="BS61" s="58">
        <f>BR61</f>
        <v>116951</v>
      </c>
      <c r="BT61" s="38">
        <v>29865</v>
      </c>
      <c r="BU61" s="38">
        <v>53670</v>
      </c>
      <c r="BV61" s="38">
        <v>65895</v>
      </c>
      <c r="BW61" s="38">
        <v>85861</v>
      </c>
      <c r="BX61" s="58">
        <f>BW61</f>
        <v>85861</v>
      </c>
      <c r="BY61" s="38">
        <v>21340</v>
      </c>
      <c r="BZ61" s="38">
        <v>41809</v>
      </c>
      <c r="CA61" s="38">
        <v>35982</v>
      </c>
      <c r="CB61" s="38">
        <v>62998</v>
      </c>
      <c r="CC61" s="58">
        <f>CB61</f>
        <v>62998</v>
      </c>
      <c r="CD61" s="38">
        <v>25423</v>
      </c>
      <c r="CE61" s="38">
        <v>61715</v>
      </c>
      <c r="CF61" s="38">
        <v>83771</v>
      </c>
      <c r="CG61" s="38">
        <v>113200</v>
      </c>
      <c r="CH61" s="58">
        <f>CG61</f>
        <v>113200</v>
      </c>
      <c r="CI61" s="38">
        <v>19203</v>
      </c>
      <c r="CJ61" s="38">
        <v>58178</v>
      </c>
      <c r="CK61" s="38">
        <v>55001</v>
      </c>
      <c r="CL61" s="38">
        <v>62916</v>
      </c>
      <c r="CM61" s="58">
        <f>CL61</f>
        <v>62916</v>
      </c>
      <c r="CN61" s="38">
        <v>8005</v>
      </c>
      <c r="CO61" s="38">
        <v>34165</v>
      </c>
      <c r="CP61" s="38"/>
      <c r="CQ61" s="38"/>
      <c r="CR61" s="58">
        <f>CQ61</f>
        <v>0</v>
      </c>
    </row>
    <row r="62" spans="1:96" s="2" customFormat="1" ht="11.15" customHeight="1" x14ac:dyDescent="0.25">
      <c r="A62" s="21"/>
      <c r="B62" s="38"/>
      <c r="C62" s="38"/>
      <c r="D62" s="38"/>
      <c r="E62" s="38"/>
      <c r="F62" s="58"/>
      <c r="G62" s="38"/>
      <c r="H62" s="38"/>
      <c r="I62" s="38"/>
      <c r="J62" s="38"/>
      <c r="K62" s="58"/>
      <c r="L62" s="38"/>
      <c r="M62" s="38"/>
      <c r="N62" s="38"/>
      <c r="O62" s="38"/>
      <c r="P62" s="58"/>
      <c r="Q62" s="38"/>
      <c r="R62" s="38"/>
      <c r="S62" s="38"/>
      <c r="T62" s="38"/>
      <c r="U62" s="58"/>
      <c r="V62" s="38"/>
      <c r="W62" s="38"/>
      <c r="X62" s="38"/>
      <c r="Y62" s="38"/>
      <c r="Z62" s="58"/>
      <c r="AA62" s="38"/>
      <c r="AB62" s="38"/>
      <c r="AC62" s="38"/>
      <c r="AD62" s="38"/>
      <c r="AE62" s="58"/>
      <c r="AF62" s="38"/>
      <c r="AG62" s="38"/>
      <c r="AH62" s="38"/>
      <c r="AI62" s="38"/>
      <c r="AJ62" s="58"/>
      <c r="AK62" s="38"/>
      <c r="AL62" s="38"/>
      <c r="AM62" s="38"/>
      <c r="AN62" s="38"/>
      <c r="AO62" s="58"/>
      <c r="AP62" s="38"/>
      <c r="AQ62" s="38"/>
      <c r="AR62" s="38"/>
      <c r="AS62" s="38"/>
      <c r="AT62" s="58"/>
      <c r="AU62" s="38"/>
      <c r="AV62" s="38"/>
      <c r="AW62" s="38"/>
      <c r="AX62" s="38"/>
      <c r="AY62" s="58"/>
      <c r="AZ62" s="38"/>
      <c r="BA62" s="38"/>
      <c r="BB62" s="38"/>
      <c r="BC62" s="38"/>
      <c r="BD62" s="58"/>
      <c r="BE62" s="38"/>
      <c r="BF62" s="38"/>
      <c r="BG62" s="38"/>
      <c r="BH62" s="38"/>
      <c r="BI62" s="58"/>
      <c r="BJ62" s="38"/>
      <c r="BK62" s="38"/>
      <c r="BL62" s="38"/>
      <c r="BM62" s="38"/>
      <c r="BN62" s="58"/>
      <c r="BO62" s="38"/>
      <c r="BP62" s="38"/>
      <c r="BQ62" s="38"/>
      <c r="BR62" s="38"/>
      <c r="BS62" s="58"/>
      <c r="BT62" s="38"/>
      <c r="BU62" s="38"/>
      <c r="BV62" s="38"/>
      <c r="BW62" s="38"/>
      <c r="BX62" s="58"/>
      <c r="BY62" s="38"/>
      <c r="BZ62" s="38"/>
      <c r="CA62" s="38"/>
      <c r="CB62" s="38"/>
      <c r="CC62" s="58"/>
      <c r="CD62" s="38"/>
      <c r="CE62" s="38"/>
      <c r="CF62" s="38"/>
      <c r="CG62" s="38"/>
      <c r="CH62" s="58"/>
      <c r="CI62" s="38"/>
      <c r="CJ62" s="38"/>
      <c r="CK62" s="38"/>
      <c r="CL62" s="38"/>
      <c r="CM62" s="58"/>
      <c r="CN62" s="38"/>
      <c r="CO62" s="38"/>
      <c r="CP62" s="38"/>
      <c r="CQ62" s="38"/>
      <c r="CR62" s="58"/>
    </row>
    <row r="63" spans="1:96" s="2" customFormat="1" ht="11.15" customHeight="1" x14ac:dyDescent="0.25">
      <c r="A63" s="6" t="s">
        <v>206</v>
      </c>
      <c r="B63" s="38"/>
      <c r="C63" s="38"/>
      <c r="D63" s="38"/>
      <c r="E63" s="38"/>
      <c r="F63" s="58"/>
      <c r="G63" s="38"/>
      <c r="H63" s="38"/>
      <c r="I63" s="38"/>
      <c r="J63" s="38"/>
      <c r="K63" s="58"/>
      <c r="L63" s="38"/>
      <c r="M63" s="38"/>
      <c r="N63" s="38"/>
      <c r="O63" s="38"/>
      <c r="P63" s="58"/>
      <c r="Q63" s="38"/>
      <c r="R63" s="38"/>
      <c r="S63" s="38"/>
      <c r="T63" s="38"/>
      <c r="U63" s="58"/>
      <c r="V63" s="38"/>
      <c r="W63" s="38"/>
      <c r="X63" s="38"/>
      <c r="Y63" s="38"/>
      <c r="Z63" s="58"/>
      <c r="AA63" s="38"/>
      <c r="AB63" s="38"/>
      <c r="AC63" s="38"/>
      <c r="AD63" s="38"/>
      <c r="AE63" s="58"/>
      <c r="AF63" s="38"/>
      <c r="AG63" s="38"/>
      <c r="AH63" s="38"/>
      <c r="AI63" s="38"/>
      <c r="AJ63" s="58"/>
      <c r="AK63" s="38"/>
      <c r="AL63" s="38"/>
      <c r="AM63" s="38"/>
      <c r="AN63" s="38"/>
      <c r="AO63" s="58"/>
      <c r="AP63" s="38"/>
      <c r="AQ63" s="38"/>
      <c r="AR63" s="38"/>
      <c r="AS63" s="38"/>
      <c r="AT63" s="58"/>
      <c r="AU63" s="38"/>
      <c r="AV63" s="38"/>
      <c r="AW63" s="38"/>
      <c r="AX63" s="38"/>
      <c r="AY63" s="58"/>
      <c r="AZ63" s="38"/>
      <c r="BA63" s="38"/>
      <c r="BB63" s="38"/>
      <c r="BC63" s="38"/>
      <c r="BD63" s="58"/>
      <c r="BE63" s="38"/>
      <c r="BF63" s="38"/>
      <c r="BG63" s="38"/>
      <c r="BH63" s="38"/>
      <c r="BI63" s="58"/>
      <c r="BJ63" s="36"/>
      <c r="BK63" s="38"/>
      <c r="BL63" s="38"/>
      <c r="BM63" s="38"/>
      <c r="BN63" s="58"/>
      <c r="BO63" s="36"/>
      <c r="BP63" s="38"/>
      <c r="BQ63" s="38"/>
      <c r="BR63" s="38"/>
      <c r="BS63" s="58"/>
      <c r="BT63" s="36"/>
      <c r="BU63" s="38"/>
      <c r="BV63" s="38"/>
      <c r="BW63" s="38"/>
      <c r="BX63" s="58"/>
      <c r="BY63" s="36"/>
      <c r="BZ63" s="38"/>
      <c r="CA63" s="38"/>
      <c r="CB63" s="38"/>
      <c r="CC63" s="58"/>
      <c r="CD63" s="36"/>
      <c r="CE63" s="38"/>
      <c r="CF63" s="38"/>
      <c r="CG63" s="38"/>
      <c r="CH63" s="58"/>
      <c r="CI63" s="36"/>
      <c r="CJ63" s="36"/>
      <c r="CK63" s="36"/>
      <c r="CL63" s="38"/>
      <c r="CM63" s="58"/>
      <c r="CN63" s="36"/>
      <c r="CO63" s="36"/>
      <c r="CP63" s="36"/>
      <c r="CQ63" s="38"/>
      <c r="CR63" s="58"/>
    </row>
    <row r="64" spans="1:96" s="2" customFormat="1" ht="11.15" customHeight="1" x14ac:dyDescent="0.25">
      <c r="A64" s="21" t="s">
        <v>154</v>
      </c>
      <c r="B64" s="38"/>
      <c r="C64" s="38"/>
      <c r="D64" s="38"/>
      <c r="E64" s="38"/>
      <c r="F64" s="58"/>
      <c r="G64" s="38"/>
      <c r="H64" s="38"/>
      <c r="I64" s="38"/>
      <c r="J64" s="38"/>
      <c r="K64" s="58"/>
      <c r="L64" s="38"/>
      <c r="M64" s="38"/>
      <c r="N64" s="38"/>
      <c r="O64" s="38"/>
      <c r="P64" s="58"/>
      <c r="Q64" s="38"/>
      <c r="R64" s="38"/>
      <c r="S64" s="38"/>
      <c r="T64" s="38"/>
      <c r="U64" s="58"/>
      <c r="V64" s="38"/>
      <c r="W64" s="38"/>
      <c r="X64" s="38"/>
      <c r="Y64" s="38"/>
      <c r="Z64" s="58"/>
      <c r="AA64" s="38"/>
      <c r="AB64" s="38"/>
      <c r="AC64" s="38"/>
      <c r="AD64" s="38"/>
      <c r="AE64" s="58"/>
      <c r="AF64" s="38"/>
      <c r="AG64" s="38"/>
      <c r="AH64" s="38"/>
      <c r="AI64" s="38"/>
      <c r="AJ64" s="58"/>
      <c r="AK64" s="38"/>
      <c r="AL64" s="38"/>
      <c r="AM64" s="38"/>
      <c r="AN64" s="38"/>
      <c r="AO64" s="58"/>
      <c r="AP64" s="38"/>
      <c r="AQ64" s="38"/>
      <c r="AR64" s="38"/>
      <c r="AS64" s="38"/>
      <c r="AT64" s="58"/>
      <c r="AU64" s="38"/>
      <c r="AV64" s="38"/>
      <c r="AW64" s="38"/>
      <c r="AX64" s="38"/>
      <c r="AY64" s="58"/>
      <c r="AZ64" s="38"/>
      <c r="BA64" s="38"/>
      <c r="BB64" s="11">
        <f>'Cash Flows'!AZ64+'Cash Flows'!BA64+'Cash Flows'!BB64</f>
        <v>41.8</v>
      </c>
      <c r="BC64" s="11">
        <f>'Cash Flows'!AZ64+'Cash Flows'!BA64+'Cash Flows'!BB64+'Cash Flows'!BC64</f>
        <v>102.774</v>
      </c>
      <c r="BD64" s="61">
        <f>BC64</f>
        <v>102.774</v>
      </c>
      <c r="BE64" s="11">
        <f>'Cash Flows'!BE64</f>
        <v>107.7</v>
      </c>
      <c r="BF64" s="11">
        <f>'Cash Flows'!BE64+'Cash Flows'!BF64</f>
        <v>198.53199999999998</v>
      </c>
      <c r="BG64" s="11">
        <f>'Cash Flows'!BE64+'Cash Flows'!BF64+'Cash Flows'!BG64</f>
        <v>215.85999999999999</v>
      </c>
      <c r="BH64" s="11">
        <f>'Cash Flows'!BE64+'Cash Flows'!BF64+'Cash Flows'!BG64+'Cash Flows'!BH64</f>
        <v>275.495</v>
      </c>
      <c r="BI64" s="61">
        <f>BH64</f>
        <v>275.495</v>
      </c>
      <c r="BJ64" s="11">
        <f>'Cash Flows'!BJ64</f>
        <v>82.897999999999996</v>
      </c>
      <c r="BK64" s="11">
        <f>'Cash Flows'!BJ64+'Cash Flows'!BK64</f>
        <v>214.578</v>
      </c>
      <c r="BL64" s="11">
        <f>'Cash Flows'!BJ64+'Cash Flows'!BK64+'Cash Flows'!BL64</f>
        <v>585.80600000000004</v>
      </c>
      <c r="BM64" s="11">
        <f>'Cash Flows'!BJ64+'Cash Flows'!BK64+'Cash Flows'!BL64+'Cash Flows'!BM64</f>
        <v>1051.825</v>
      </c>
      <c r="BN64" s="61">
        <f>BM64</f>
        <v>1051.825</v>
      </c>
      <c r="BO64" s="11">
        <f>'Cash Flows'!BO64</f>
        <v>0</v>
      </c>
      <c r="BP64" s="11">
        <f>'Cash Flows'!BP64</f>
        <v>15.38</v>
      </c>
      <c r="BQ64" s="11">
        <f>'Cash Flows'!BO64+'Cash Flows'!BP64+'Cash Flows'!BQ64</f>
        <v>196</v>
      </c>
      <c r="BR64" s="11">
        <f>'Cash Flows'!BO64+'Cash Flows'!BP64+'Cash Flows'!BQ64+'Cash Flows'!BR64</f>
        <v>301.262</v>
      </c>
      <c r="BS64" s="61">
        <f>BR64</f>
        <v>301.262</v>
      </c>
      <c r="BT64" s="11">
        <f>'Cash Flows'!BT64</f>
        <v>108.819</v>
      </c>
      <c r="BU64" s="11">
        <f>'Cash Flows'!BU64+'Cash Flows'!BT64</f>
        <v>240.18799999999999</v>
      </c>
      <c r="BV64" s="11">
        <f>'Cash Flows'!BV64+'Cash Flows'!BU64+'Cash Flows'!BT64</f>
        <v>301.66000000000003</v>
      </c>
      <c r="BW64" s="11">
        <f>'Cash Flows'!BW64+'Cash Flows'!BV64+'Cash Flows'!BU64+'Cash Flows'!BT64</f>
        <v>301.66000000000003</v>
      </c>
      <c r="BX64" s="61">
        <f>BW64</f>
        <v>301.66000000000003</v>
      </c>
      <c r="BY64" s="11">
        <f>'Cash Flows'!BY64</f>
        <v>14.906000000000001</v>
      </c>
      <c r="BZ64" s="11">
        <f>'Cash Flows'!BZ64+'Cash Flows'!BY64</f>
        <v>200.239</v>
      </c>
      <c r="CA64" s="11">
        <f>'Cash Flows'!CA64+'Cash Flows'!BZ64+'Cash Flows'!BY64</f>
        <v>399.74399999999997</v>
      </c>
      <c r="CB64" s="11">
        <f>'Cash Flows'!CB64+'Cash Flows'!CA64+'Cash Flows'!BZ64+'Cash Flows'!BY64</f>
        <v>744.43099999999993</v>
      </c>
      <c r="CC64" s="61">
        <f>CB64</f>
        <v>744.43099999999993</v>
      </c>
      <c r="CD64" s="11">
        <f>'Cash Flows'!CD64</f>
        <v>601.11500000000001</v>
      </c>
      <c r="CE64" s="11">
        <f>'Cash Flows'!CE64+'Cash Flows'!CD64</f>
        <v>2983.018</v>
      </c>
      <c r="CF64" s="11">
        <f>'Cash Flows'!CF64+'Cash Flows'!CE64+'Cash Flows'!CD64</f>
        <v>3802.4399999999996</v>
      </c>
      <c r="CG64" s="11">
        <f>'Cash Flows'!CG64+'Cash Flows'!CF64+'Cash Flows'!CE64+'Cash Flows'!CD64</f>
        <v>5101.4339999999993</v>
      </c>
      <c r="CH64" s="96">
        <f>CG64</f>
        <v>5101.4339999999993</v>
      </c>
      <c r="CI64" s="11">
        <f>'Cash Flows'!CI64</f>
        <v>998.76900000000001</v>
      </c>
      <c r="CJ64" s="11">
        <f>'Cash Flows'!CI64+'Cash Flows'!CJ64</f>
        <v>998.76900000000001</v>
      </c>
      <c r="CK64" s="11">
        <f>'Cash Flows'!CI64+'Cash Flows'!CJ64+'Cash Flows'!CK64</f>
        <v>1448.4569999999999</v>
      </c>
      <c r="CL64" s="11">
        <f>'Cash Flows'!CI64+'Cash Flows'!CJ64+'Cash Flows'!CK64+'Cash Flows'!CL64</f>
        <v>2117.3519999999999</v>
      </c>
      <c r="CM64" s="96">
        <f>CL64</f>
        <v>2117.3519999999999</v>
      </c>
      <c r="CN64" s="11">
        <v>957.92499999999995</v>
      </c>
      <c r="CO64" s="11">
        <f>'Cash Flows'!CN64+'Cash Flows'!CO64</f>
        <v>2362.174</v>
      </c>
      <c r="CP64" s="11"/>
      <c r="CQ64" s="11"/>
      <c r="CR64" s="96">
        <f>CQ64</f>
        <v>0</v>
      </c>
    </row>
    <row r="65" spans="1:96" s="2" customFormat="1" ht="11.15" customHeight="1" x14ac:dyDescent="0.25">
      <c r="A65" s="21" t="s">
        <v>250</v>
      </c>
      <c r="B65" s="38"/>
      <c r="C65" s="38"/>
      <c r="D65" s="38"/>
      <c r="E65" s="38"/>
      <c r="F65" s="58"/>
      <c r="G65" s="38"/>
      <c r="H65" s="38"/>
      <c r="I65" s="38"/>
      <c r="J65" s="38"/>
      <c r="K65" s="58"/>
      <c r="L65" s="38"/>
      <c r="M65" s="38"/>
      <c r="N65" s="38"/>
      <c r="O65" s="38"/>
      <c r="P65" s="58"/>
      <c r="Q65" s="38"/>
      <c r="R65" s="38"/>
      <c r="S65" s="38"/>
      <c r="T65" s="38"/>
      <c r="U65" s="58"/>
      <c r="V65" s="38"/>
      <c r="W65" s="38"/>
      <c r="X65" s="38"/>
      <c r="Y65" s="38"/>
      <c r="Z65" s="58"/>
      <c r="AA65" s="38"/>
      <c r="AB65" s="38"/>
      <c r="AC65" s="38"/>
      <c r="AD65" s="38"/>
      <c r="AE65" s="58"/>
      <c r="AF65" s="38"/>
      <c r="AG65" s="38"/>
      <c r="AH65" s="38"/>
      <c r="AI65" s="38"/>
      <c r="AJ65" s="58"/>
      <c r="AK65" s="38"/>
      <c r="AL65" s="38"/>
      <c r="AM65" s="38"/>
      <c r="AN65" s="38"/>
      <c r="AO65" s="58"/>
      <c r="AP65" s="38"/>
      <c r="AQ65" s="38"/>
      <c r="AR65" s="38"/>
      <c r="AS65" s="38"/>
      <c r="AT65" s="58"/>
      <c r="AU65" s="38"/>
      <c r="AV65" s="38"/>
      <c r="AW65" s="38"/>
      <c r="AX65" s="38"/>
      <c r="AY65" s="58"/>
      <c r="AZ65" s="38"/>
      <c r="BA65" s="38"/>
      <c r="BB65" s="16">
        <f>BB66/BB64</f>
        <v>83.32535885167465</v>
      </c>
      <c r="BC65" s="16">
        <f>BC66/BC64</f>
        <v>87.045361667347777</v>
      </c>
      <c r="BD65" s="64">
        <f>BD66/BD64</f>
        <v>87.045361667347777</v>
      </c>
      <c r="BE65" s="16">
        <f t="shared" ref="BE65:BF65" si="162">BE66/BE64</f>
        <v>116.42525533890436</v>
      </c>
      <c r="BF65" s="16">
        <f t="shared" si="162"/>
        <v>121.45145366993735</v>
      </c>
      <c r="BG65" s="16">
        <f>BG66/BG64</f>
        <v>124.66876679329195</v>
      </c>
      <c r="BH65" s="16">
        <f>BH66/BH64</f>
        <v>145.14600990943575</v>
      </c>
      <c r="BI65" s="64">
        <f>BI66/BI64</f>
        <v>145.14600990943575</v>
      </c>
      <c r="BJ65" s="16">
        <f>'Cash Flows'!BJ65</f>
        <v>242.11681825858284</v>
      </c>
      <c r="BK65" s="16">
        <f t="shared" ref="BK65" si="163">BK66/BK64</f>
        <v>237.97407003513874</v>
      </c>
      <c r="BL65" s="16">
        <f>BL66/BL64</f>
        <v>191.06325302233162</v>
      </c>
      <c r="BM65" s="16">
        <f>BM66/BM64</f>
        <v>167.39001259715255</v>
      </c>
      <c r="BN65" s="64">
        <f>BN66/BN64</f>
        <v>167.39001259715255</v>
      </c>
      <c r="BO65" s="16">
        <f>'Cash Flows'!BO65</f>
        <v>0</v>
      </c>
      <c r="BP65" s="16">
        <f>'Cash Flows'!BP65</f>
        <v>148.50455136540961</v>
      </c>
      <c r="BQ65" s="16">
        <f>BQ66/BQ64</f>
        <v>132.25</v>
      </c>
      <c r="BR65" s="16">
        <f>BR66/BR64</f>
        <v>135.2045727639065</v>
      </c>
      <c r="BS65" s="64">
        <f>BS66/BS64</f>
        <v>135.2045727639065</v>
      </c>
      <c r="BT65" s="16">
        <f>'Cash Flows'!BT65</f>
        <v>116.85459340740128</v>
      </c>
      <c r="BU65" s="16">
        <f>+BU66/BU64</f>
        <v>117.53293253618</v>
      </c>
      <c r="BV65" s="16">
        <f>+BV66/BV64</f>
        <v>125.58509580322216</v>
      </c>
      <c r="BW65" s="16">
        <f>+BW66/BW64</f>
        <v>125.58509580322216</v>
      </c>
      <c r="BX65" s="64">
        <f>BX66/BX64</f>
        <v>125.58509580322216</v>
      </c>
      <c r="BY65" s="16">
        <f>'Cash Flows'!BY65</f>
        <v>204.48141687910908</v>
      </c>
      <c r="BZ65" s="16">
        <f>+BZ66/BZ64</f>
        <v>208.40595488391372</v>
      </c>
      <c r="CA65" s="16">
        <f>+CA66/CA64</f>
        <v>195.30249359590138</v>
      </c>
      <c r="CB65" s="16">
        <f>+CB66/CB64</f>
        <v>181.19745147636249</v>
      </c>
      <c r="CC65" s="64">
        <f>CC66/CC64</f>
        <v>181.19745147636249</v>
      </c>
      <c r="CD65" s="16">
        <f>'Cash Flows'!CD65</f>
        <v>131.01819119469653</v>
      </c>
      <c r="CE65" s="16">
        <f t="shared" ref="CE65:CH65" si="164">+CE66/CE64</f>
        <v>104.45997979227748</v>
      </c>
      <c r="CF65" s="16">
        <f t="shared" si="164"/>
        <v>100.69455402320617</v>
      </c>
      <c r="CG65" s="16">
        <f t="shared" si="164"/>
        <v>97.914821597221504</v>
      </c>
      <c r="CH65" s="64">
        <f t="shared" si="164"/>
        <v>97.914821597221504</v>
      </c>
      <c r="CI65" s="114">
        <v>112.29</v>
      </c>
      <c r="CJ65" s="114">
        <v>112.29</v>
      </c>
      <c r="CK65" s="114">
        <v>109.21</v>
      </c>
      <c r="CL65" s="114">
        <v>104.68</v>
      </c>
      <c r="CM65" s="64">
        <f>CL65</f>
        <v>104.68</v>
      </c>
      <c r="CN65" s="114">
        <v>92.73</v>
      </c>
      <c r="CO65" s="114">
        <v>88.92</v>
      </c>
      <c r="CP65" s="114"/>
      <c r="CQ65" s="16"/>
      <c r="CR65" s="64"/>
    </row>
    <row r="66" spans="1:96" s="2" customFormat="1" ht="11.15" customHeight="1" x14ac:dyDescent="0.25">
      <c r="A66" s="26" t="str">
        <f>A44</f>
        <v>Purchase of treasury stock, at cost</v>
      </c>
      <c r="B66" s="38"/>
      <c r="C66" s="38"/>
      <c r="D66" s="38"/>
      <c r="E66" s="38"/>
      <c r="F66" s="58"/>
      <c r="G66" s="38"/>
      <c r="H66" s="38"/>
      <c r="I66" s="38"/>
      <c r="J66" s="38"/>
      <c r="K66" s="58"/>
      <c r="L66" s="38"/>
      <c r="M66" s="38"/>
      <c r="N66" s="38"/>
      <c r="O66" s="38"/>
      <c r="P66" s="58"/>
      <c r="Q66" s="38"/>
      <c r="R66" s="38"/>
      <c r="S66" s="38"/>
      <c r="T66" s="38"/>
      <c r="U66" s="58"/>
      <c r="V66" s="38"/>
      <c r="W66" s="38"/>
      <c r="X66" s="38"/>
      <c r="Y66" s="38"/>
      <c r="Z66" s="58"/>
      <c r="AA66" s="38"/>
      <c r="AB66" s="38"/>
      <c r="AC66" s="38"/>
      <c r="AD66" s="38"/>
      <c r="AE66" s="58"/>
      <c r="AF66" s="38"/>
      <c r="AG66" s="38"/>
      <c r="AH66" s="38"/>
      <c r="AI66" s="38"/>
      <c r="AJ66" s="58"/>
      <c r="AK66" s="38"/>
      <c r="AL66" s="38"/>
      <c r="AM66" s="38"/>
      <c r="AN66" s="38"/>
      <c r="AO66" s="58"/>
      <c r="AP66" s="38"/>
      <c r="AQ66" s="38"/>
      <c r="AR66" s="38"/>
      <c r="AS66" s="38"/>
      <c r="AT66" s="58"/>
      <c r="AU66" s="38"/>
      <c r="AV66" s="38"/>
      <c r="AW66" s="38"/>
      <c r="AX66" s="38"/>
      <c r="AY66" s="58"/>
      <c r="AZ66" s="38"/>
      <c r="BA66" s="38"/>
      <c r="BB66" s="34">
        <f>'Cash Flows'!AZ66+'Cash Flows'!BA66+'Cash Flows'!BB66</f>
        <v>3483</v>
      </c>
      <c r="BC66" s="34">
        <f>'Cash Flows'!AZ66+'Cash Flows'!BA66+'Cash Flows'!BB66+'Cash Flows'!BC66</f>
        <v>8946</v>
      </c>
      <c r="BD66" s="58">
        <f>BC66</f>
        <v>8946</v>
      </c>
      <c r="BE66" s="34">
        <f>'Cash Flows'!BE66</f>
        <v>12539</v>
      </c>
      <c r="BF66" s="34">
        <f>'Cash Flows'!BE66+'Cash Flows'!BF66</f>
        <v>24112</v>
      </c>
      <c r="BG66" s="34">
        <f>'Cash Flows'!BE66+'Cash Flows'!BF66+'Cash Flows'!BG66</f>
        <v>26911</v>
      </c>
      <c r="BH66" s="34">
        <f>'Cash Flows'!BE66+'Cash Flows'!BF66+'Cash Flows'!BG66+'Cash Flows'!BH66</f>
        <v>39987</v>
      </c>
      <c r="BI66" s="58">
        <f>BH66</f>
        <v>39987</v>
      </c>
      <c r="BJ66" s="34">
        <f>'Cash Flows'!BJ66</f>
        <v>20071</v>
      </c>
      <c r="BK66" s="34">
        <f>'Cash Flows'!BJ66+'Cash Flows'!BK66</f>
        <v>51064</v>
      </c>
      <c r="BL66" s="34">
        <f>'Cash Flows'!BJ66+'Cash Flows'!BK66+'Cash Flows'!BL66</f>
        <v>111926</v>
      </c>
      <c r="BM66" s="34">
        <f>'Cash Flows'!BJ66+'Cash Flows'!BK66+'Cash Flows'!BL66+'Cash Flows'!BM66</f>
        <v>176065</v>
      </c>
      <c r="BN66" s="58">
        <f>BM66</f>
        <v>176065</v>
      </c>
      <c r="BO66" s="34">
        <f>'Cash Flows'!BO66</f>
        <v>0</v>
      </c>
      <c r="BP66" s="34">
        <f>'Cash Flows'!BP66</f>
        <v>2284</v>
      </c>
      <c r="BQ66" s="34">
        <f>'Cash Flows'!BQ66+'Cash Flows'!BP66</f>
        <v>25921</v>
      </c>
      <c r="BR66" s="34">
        <f>'Cash Flows'!BO66+'Cash Flows'!BP66+'Cash Flows'!BQ66+'Cash Flows'!BR66</f>
        <v>40732</v>
      </c>
      <c r="BS66" s="58">
        <f>BR66</f>
        <v>40732</v>
      </c>
      <c r="BT66" s="34">
        <f>'Cash Flows'!BT66</f>
        <v>12716</v>
      </c>
      <c r="BU66" s="34">
        <f>'Cash Flows'!BU66+'Cash Flows'!BT66</f>
        <v>28230</v>
      </c>
      <c r="BV66" s="34">
        <f>'Cash Flows'!BV66+'Cash Flows'!BU66+'Cash Flows'!BT66</f>
        <v>37884</v>
      </c>
      <c r="BW66" s="34">
        <f>'Cash Flows'!BW66+'Cash Flows'!BV66+'Cash Flows'!BU66+'Cash Flows'!BT66</f>
        <v>37884</v>
      </c>
      <c r="BX66" s="58">
        <f>BW66</f>
        <v>37884</v>
      </c>
      <c r="BY66" s="34">
        <f>'Cash Flows'!BY66</f>
        <v>3048</v>
      </c>
      <c r="BZ66" s="34">
        <f>'Cash Flows'!BZ66+'Cash Flows'!BY66</f>
        <v>41731</v>
      </c>
      <c r="CA66" s="34">
        <f>'Cash Flows'!CA66+'Cash Flows'!BZ66+'Cash Flows'!BY66</f>
        <v>78071</v>
      </c>
      <c r="CB66" s="34">
        <f>'Cash Flows'!CB66+'Cash Flows'!CA66+'Cash Flows'!BZ66+'Cash Flows'!BY66</f>
        <v>134889</v>
      </c>
      <c r="CC66" s="58">
        <f>CB66</f>
        <v>134889</v>
      </c>
      <c r="CD66" s="34">
        <f>'Cash Flows'!CD66</f>
        <v>78757</v>
      </c>
      <c r="CE66" s="34">
        <f>'Cash Flows'!CE66+'Cash Flows'!CD66</f>
        <v>311606</v>
      </c>
      <c r="CF66" s="34">
        <f>'Cash Flows'!CF66+'Cash Flows'!CE66+'Cash Flows'!CD66</f>
        <v>382885</v>
      </c>
      <c r="CG66" s="34">
        <f>'Cash Flows'!CG66+'Cash Flows'!CF66+'Cash Flows'!CE66+'Cash Flows'!CD66</f>
        <v>499506</v>
      </c>
      <c r="CH66" s="58">
        <f>CG66</f>
        <v>499506</v>
      </c>
      <c r="CI66" s="34">
        <f>'Cash Flows'!CI66</f>
        <v>113094</v>
      </c>
      <c r="CJ66" s="34">
        <f>'Cash Flows'!CI66+'Cash Flows'!CJ66</f>
        <v>113031</v>
      </c>
      <c r="CK66" s="34">
        <f>'Cash Flows'!CI66+'Cash Flows'!CJ66+'Cash Flows'!CK66</f>
        <v>159528</v>
      </c>
      <c r="CL66" s="34">
        <f>'Cash Flows'!CI66+'Cash Flows'!CJ66+'Cash Flows'!CK66+'Cash Flows'!CL66</f>
        <v>223496</v>
      </c>
      <c r="CM66" s="58">
        <f>CL66</f>
        <v>223496</v>
      </c>
      <c r="CN66" s="34">
        <v>89616</v>
      </c>
      <c r="CO66" s="34">
        <f>'Cash Flows'!CN66+'Cash Flows'!CO66</f>
        <v>212020</v>
      </c>
      <c r="CP66" s="34"/>
      <c r="CQ66" s="34"/>
      <c r="CR66" s="58">
        <f>CQ66</f>
        <v>0</v>
      </c>
    </row>
    <row r="67" spans="1:96" s="2" customFormat="1" ht="11.15" customHeight="1" x14ac:dyDescent="0.25">
      <c r="A67" s="26" t="s">
        <v>155</v>
      </c>
      <c r="B67" s="38"/>
      <c r="C67" s="38"/>
      <c r="D67" s="38"/>
      <c r="E67" s="38"/>
      <c r="F67" s="58"/>
      <c r="G67" s="38"/>
      <c r="H67" s="38"/>
      <c r="I67" s="38"/>
      <c r="J67" s="38"/>
      <c r="K67" s="58"/>
      <c r="L67" s="38"/>
      <c r="M67" s="38"/>
      <c r="N67" s="38"/>
      <c r="O67" s="38"/>
      <c r="P67" s="58"/>
      <c r="Q67" s="38"/>
      <c r="R67" s="38"/>
      <c r="S67" s="38"/>
      <c r="T67" s="38"/>
      <c r="U67" s="58"/>
      <c r="V67" s="38"/>
      <c r="W67" s="38"/>
      <c r="X67" s="38"/>
      <c r="Y67" s="38"/>
      <c r="Z67" s="58"/>
      <c r="AA67" s="38"/>
      <c r="AB67" s="38"/>
      <c r="AC67" s="38"/>
      <c r="AD67" s="38"/>
      <c r="AE67" s="58"/>
      <c r="AF67" s="38"/>
      <c r="AG67" s="38"/>
      <c r="AH67" s="38"/>
      <c r="AI67" s="38"/>
      <c r="AJ67" s="58"/>
      <c r="AK67" s="38"/>
      <c r="AL67" s="38"/>
      <c r="AM67" s="38"/>
      <c r="AN67" s="38"/>
      <c r="AO67" s="58"/>
      <c r="AP67" s="38"/>
      <c r="AQ67" s="38"/>
      <c r="AR67" s="38"/>
      <c r="AS67" s="38"/>
      <c r="AT67" s="58"/>
      <c r="AU67" s="38"/>
      <c r="AV67" s="38"/>
      <c r="AW67" s="38"/>
      <c r="AX67" s="38"/>
      <c r="AY67" s="58"/>
      <c r="AZ67" s="38"/>
      <c r="BA67" s="38"/>
      <c r="BB67" s="34">
        <f>'Cash Flows'!BB67</f>
        <v>96517</v>
      </c>
      <c r="BC67" s="34">
        <f>'Cash Flows'!BC67</f>
        <v>91054</v>
      </c>
      <c r="BD67" s="58">
        <f>BC67</f>
        <v>91054</v>
      </c>
      <c r="BE67" s="34">
        <f>'Cash Flows'!BE67</f>
        <v>78515</v>
      </c>
      <c r="BF67" s="34">
        <f>'Cash Flows'!BF67</f>
        <v>66942</v>
      </c>
      <c r="BG67" s="34">
        <f>'Cash Flows'!BG67</f>
        <v>64143</v>
      </c>
      <c r="BH67" s="34">
        <f>'Cash Flows'!BH67</f>
        <v>51067</v>
      </c>
      <c r="BI67" s="58">
        <f>BH67</f>
        <v>51067</v>
      </c>
      <c r="BJ67" s="34">
        <f>'Cash Flows'!BJ67</f>
        <v>30996</v>
      </c>
      <c r="BK67" s="34">
        <f>'Cash Flows'!BK67</f>
        <v>0</v>
      </c>
      <c r="BL67" s="34">
        <f>'Cash Flows'!BL67</f>
        <v>64138</v>
      </c>
      <c r="BM67" s="34">
        <f>'Cash Flows'!BM67</f>
        <v>0</v>
      </c>
      <c r="BN67" s="58">
        <f>BM67</f>
        <v>0</v>
      </c>
      <c r="BO67" s="34">
        <f>'Cash Flows'!BO67</f>
        <v>125000</v>
      </c>
      <c r="BP67" s="34">
        <f>'Cash Flows'!BP67</f>
        <v>122716</v>
      </c>
      <c r="BQ67" s="34">
        <f>'Cash Flows'!BQ67</f>
        <v>99079</v>
      </c>
      <c r="BR67" s="34">
        <f>'Cash Flows'!BR67</f>
        <v>84268</v>
      </c>
      <c r="BS67" s="58">
        <f>BR67</f>
        <v>84268</v>
      </c>
      <c r="BT67" s="34">
        <f>'Cash Flows'!BT67</f>
        <v>71552</v>
      </c>
      <c r="BU67" s="34">
        <f>'Cash Flows'!BU67</f>
        <v>256038</v>
      </c>
      <c r="BV67" s="34">
        <f>'Cash Flows'!BV67</f>
        <v>246384</v>
      </c>
      <c r="BW67" s="34">
        <f>'Cash Flows'!BW67</f>
        <v>246384</v>
      </c>
      <c r="BX67" s="58">
        <f>BW67</f>
        <v>246384</v>
      </c>
      <c r="BY67" s="34">
        <f>'Cash Flows'!BY67</f>
        <v>243336</v>
      </c>
      <c r="BZ67" s="34">
        <f>'Cash Flows'!BZ67</f>
        <v>204653</v>
      </c>
      <c r="CA67" s="34">
        <f>'Cash Flows'!CA67</f>
        <v>168313</v>
      </c>
      <c r="CB67" s="34">
        <f>'Cash Flows'!CB67</f>
        <v>111495</v>
      </c>
      <c r="CC67" s="58">
        <f>CB67</f>
        <v>111495</v>
      </c>
      <c r="CD67" s="34">
        <f>'Cash Flows'!CD67</f>
        <v>232738</v>
      </c>
      <c r="CE67" s="34">
        <f>'Cash Flows'!CE67</f>
        <v>0</v>
      </c>
      <c r="CF67" s="34">
        <f>'Cash Flows'!CF67</f>
        <v>228745.30584720001</v>
      </c>
      <c r="CG67" s="34">
        <f>'Cash Flows'!CG67</f>
        <v>112152.61471689999</v>
      </c>
      <c r="CH67" s="58">
        <f>CG67</f>
        <v>112152.61471689999</v>
      </c>
      <c r="CI67" s="34">
        <f>'Cash Flows'!CI67</f>
        <v>8.4941200017929083E-2</v>
      </c>
      <c r="CJ67" s="34">
        <f>'Cash Flows'!CJ67</f>
        <v>200000</v>
      </c>
      <c r="CK67" s="34">
        <f>'Cash Flows'!CK67</f>
        <v>153966.4737269</v>
      </c>
      <c r="CL67" s="34">
        <f>'Cash Flows'!CL67</f>
        <v>90518.11318439999</v>
      </c>
      <c r="CM67" s="58">
        <f>CL67</f>
        <v>90518.11318439999</v>
      </c>
      <c r="CN67" s="34">
        <v>301693.66089509998</v>
      </c>
      <c r="CO67" s="34">
        <f>'Cash Flows'!CO67</f>
        <v>180483.68365749999</v>
      </c>
      <c r="CP67" s="34"/>
      <c r="CQ67" s="34"/>
      <c r="CR67" s="58">
        <f>CQ67</f>
        <v>0</v>
      </c>
    </row>
    <row r="68" spans="1:96" ht="11.15" customHeight="1" thickBot="1" x14ac:dyDescent="0.25">
      <c r="A68" s="6"/>
      <c r="F68" s="68"/>
      <c r="K68" s="68"/>
      <c r="P68" s="68"/>
      <c r="U68" s="68"/>
      <c r="Z68" s="68"/>
      <c r="AE68" s="68"/>
      <c r="AJ68" s="68"/>
      <c r="AO68" s="68"/>
      <c r="AT68" s="68"/>
      <c r="AY68" s="68"/>
      <c r="BD68" s="68"/>
      <c r="BI68" s="68"/>
      <c r="BN68" s="68"/>
      <c r="BS68" s="68"/>
      <c r="BX68" s="68"/>
      <c r="CC68" s="68"/>
      <c r="CH68" s="68"/>
      <c r="CM68" s="68"/>
      <c r="CR68" s="68"/>
    </row>
    <row r="69" spans="1:96" ht="11.15" customHeight="1" x14ac:dyDescent="0.2">
      <c r="A69" s="6"/>
    </row>
    <row r="70" spans="1:96" ht="11.15" customHeight="1" x14ac:dyDescent="0.2">
      <c r="A70" s="6"/>
    </row>
    <row r="73" spans="1:96" ht="11.15" customHeight="1" x14ac:dyDescent="0.2">
      <c r="A73" s="6"/>
    </row>
  </sheetData>
  <mergeCells count="38">
    <mergeCell ref="CN1:CR1"/>
    <mergeCell ref="CN3:CQ3"/>
    <mergeCell ref="CI1:CM1"/>
    <mergeCell ref="CI3:CL3"/>
    <mergeCell ref="AK1:AO1"/>
    <mergeCell ref="AP1:AT1"/>
    <mergeCell ref="BO1:BS1"/>
    <mergeCell ref="BO3:BR3"/>
    <mergeCell ref="AK3:AN3"/>
    <mergeCell ref="AP3:AS3"/>
    <mergeCell ref="CD1:CH1"/>
    <mergeCell ref="CD3:CG3"/>
    <mergeCell ref="AU3:AX3"/>
    <mergeCell ref="AZ3:BC3"/>
    <mergeCell ref="AU1:AY1"/>
    <mergeCell ref="BJ1:BN1"/>
    <mergeCell ref="AF3:AI3"/>
    <mergeCell ref="V1:Z1"/>
    <mergeCell ref="AA1:AE1"/>
    <mergeCell ref="AF1:AJ1"/>
    <mergeCell ref="BE3:BH3"/>
    <mergeCell ref="AZ1:BD1"/>
    <mergeCell ref="BY1:CC1"/>
    <mergeCell ref="BY3:CB3"/>
    <mergeCell ref="BT1:BX1"/>
    <mergeCell ref="BT3:BW3"/>
    <mergeCell ref="B1:F1"/>
    <mergeCell ref="B3:E3"/>
    <mergeCell ref="Q1:U1"/>
    <mergeCell ref="Q3:T3"/>
    <mergeCell ref="G1:K1"/>
    <mergeCell ref="L1:P1"/>
    <mergeCell ref="G3:J3"/>
    <mergeCell ref="L3:O3"/>
    <mergeCell ref="BJ3:BM3"/>
    <mergeCell ref="BE1:BI1"/>
    <mergeCell ref="V3:Y3"/>
    <mergeCell ref="AA3:AD3"/>
  </mergeCells>
  <phoneticPr fontId="5" type="noConversion"/>
  <printOptions horizontalCentered="1"/>
  <pageMargins left="0.25" right="0.25" top="0.75" bottom="0.75" header="0.3" footer="0.3"/>
  <pageSetup paperSize="5" scale="56" orientation="landscape" r:id="rId1"/>
  <headerFooter alignWithMargins="0">
    <oddHeader>&amp;L&amp;G</oddHeader>
  </headerFooter>
  <ignoredErrors>
    <ignoredError sqref="F59:BI62 BD68:BJ68 BN46:BN53 F46:BI53 F55:P55 U55:AH55 AJ55:AW55 AY55:BL55 BD67:BH67 BJ67 BI65:BP65 BS49:BS53 BS55:BS56 BS34:BS35 F54 K54 BN55 BS65 BS24:BS32 F24:BI32 BN24:BN32 F34:BI43 BN34:BN44 F44:J44 L44:BI44 BJ66 BD65:BH66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 fitToPage="1"/>
  </sheetPr>
  <dimension ref="A1:CR74"/>
  <sheetViews>
    <sheetView zoomScale="110" zoomScaleNormal="110" zoomScaleSheetLayoutView="100" workbookViewId="0">
      <pane xSplit="1" ySplit="4" topLeftCell="BD5" activePane="bottomRight" state="frozen"/>
      <selection activeCell="A121" sqref="A121"/>
      <selection pane="topRight" activeCell="A121" sqref="A121"/>
      <selection pane="bottomLeft" activeCell="A121" sqref="A121"/>
      <selection pane="bottomRight" activeCell="CN64" sqref="CN64:CO64"/>
    </sheetView>
  </sheetViews>
  <sheetFormatPr defaultColWidth="9.7265625" defaultRowHeight="11.15" customHeight="1" outlineLevelCol="1" x14ac:dyDescent="0.2"/>
  <cols>
    <col min="1" max="1" width="76.453125" style="1" customWidth="1"/>
    <col min="2" max="5" width="9.7265625" style="1" hidden="1" customWidth="1" outlineLevel="1"/>
    <col min="6" max="6" width="10" style="1" bestFit="1" customWidth="1" collapsed="1"/>
    <col min="7" max="10" width="9.7265625" style="1" hidden="1" customWidth="1" outlineLevel="1"/>
    <col min="11" max="11" width="10" style="1" bestFit="1" customWidth="1" collapsed="1"/>
    <col min="12" max="15" width="9.7265625" style="1" hidden="1" customWidth="1" outlineLevel="1"/>
    <col min="16" max="16" width="10" style="1" bestFit="1" customWidth="1" collapsed="1"/>
    <col min="17" max="20" width="9.7265625" style="1" hidden="1" customWidth="1" outlineLevel="1"/>
    <col min="21" max="21" width="10" style="1" bestFit="1" customWidth="1" collapsed="1"/>
    <col min="22" max="25" width="9.7265625" style="1" hidden="1" customWidth="1" outlineLevel="1"/>
    <col min="26" max="26" width="10.7265625" style="1" bestFit="1" customWidth="1" collapsed="1"/>
    <col min="27" max="30" width="9.7265625" style="1" hidden="1" customWidth="1" outlineLevel="1"/>
    <col min="31" max="31" width="10.7265625" style="1" bestFit="1" customWidth="1" collapsed="1"/>
    <col min="32" max="35" width="9.7265625" style="1" hidden="1" customWidth="1" outlineLevel="1"/>
    <col min="36" max="36" width="10.7265625" style="1" bestFit="1" customWidth="1" collapsed="1"/>
    <col min="37" max="40" width="9.7265625" style="1" hidden="1" customWidth="1" outlineLevel="1"/>
    <col min="41" max="41" width="10.7265625" style="1" bestFit="1" customWidth="1" collapsed="1"/>
    <col min="42" max="45" width="9.7265625" style="1" hidden="1" customWidth="1" outlineLevel="1"/>
    <col min="46" max="46" width="10.7265625" style="1" bestFit="1" customWidth="1" collapsed="1"/>
    <col min="47" max="50" width="9.7265625" style="1" hidden="1" customWidth="1" outlineLevel="1"/>
    <col min="51" max="51" width="10.7265625" style="1" bestFit="1" customWidth="1" collapsed="1"/>
    <col min="52" max="55" width="9.7265625" style="1" hidden="1" customWidth="1" outlineLevel="1"/>
    <col min="56" max="56" width="10.7265625" style="1" bestFit="1" customWidth="1" collapsed="1"/>
    <col min="57" max="60" width="9.7265625" style="1" hidden="1" customWidth="1" outlineLevel="1"/>
    <col min="61" max="61" width="10.7265625" style="1" bestFit="1" customWidth="1" collapsed="1"/>
    <col min="62" max="65" width="9.7265625" style="1" hidden="1" customWidth="1" outlineLevel="1"/>
    <col min="66" max="66" width="10.7265625" style="1" bestFit="1" customWidth="1" collapsed="1"/>
    <col min="67" max="70" width="9.7265625" style="1" hidden="1" customWidth="1" outlineLevel="1"/>
    <col min="71" max="71" width="10.7265625" style="1" bestFit="1" customWidth="1" collapsed="1"/>
    <col min="72" max="75" width="9.7265625" style="1" hidden="1" customWidth="1" outlineLevel="1"/>
    <col min="76" max="76" width="10.7265625" style="1" bestFit="1" customWidth="1" collapsed="1"/>
    <col min="77" max="80" width="9.7265625" style="1" hidden="1" customWidth="1" outlineLevel="1"/>
    <col min="81" max="81" width="10.7265625" style="1" bestFit="1" customWidth="1" collapsed="1"/>
    <col min="82" max="85" width="9.7265625" style="1" hidden="1" customWidth="1" outlineLevel="1"/>
    <col min="86" max="86" width="10.7265625" style="1" bestFit="1" customWidth="1" collapsed="1"/>
    <col min="87" max="87" width="12.26953125" style="1" hidden="1" customWidth="1" outlineLevel="1"/>
    <col min="88" max="89" width="9.7265625" style="1" hidden="1" customWidth="1" outlineLevel="1"/>
    <col min="90" max="90" width="10.26953125" style="1" hidden="1" customWidth="1" outlineLevel="1"/>
    <col min="91" max="91" width="12.26953125" style="1" bestFit="1" customWidth="1" collapsed="1"/>
    <col min="92" max="92" width="12.26953125" style="1" customWidth="1" outlineLevel="1"/>
    <col min="93" max="94" width="9.7265625" style="1" outlineLevel="1"/>
    <col min="95" max="95" width="10.26953125" style="1" customWidth="1" outlineLevel="1"/>
    <col min="96" max="96" width="12.26953125" style="1" bestFit="1" customWidth="1"/>
    <col min="97" max="16384" width="9.7265625" style="1"/>
  </cols>
  <sheetData>
    <row r="1" spans="1:96" ht="11.15" customHeight="1" thickBot="1" x14ac:dyDescent="0.3">
      <c r="A1" s="22" t="s">
        <v>44</v>
      </c>
      <c r="B1" s="118" t="s">
        <v>40</v>
      </c>
      <c r="C1" s="119"/>
      <c r="D1" s="119"/>
      <c r="E1" s="119"/>
      <c r="F1" s="120"/>
      <c r="G1" s="118" t="s">
        <v>41</v>
      </c>
      <c r="H1" s="119"/>
      <c r="I1" s="119"/>
      <c r="J1" s="119"/>
      <c r="K1" s="120"/>
      <c r="L1" s="118" t="s">
        <v>42</v>
      </c>
      <c r="M1" s="119"/>
      <c r="N1" s="119"/>
      <c r="O1" s="119"/>
      <c r="P1" s="120"/>
      <c r="Q1" s="118" t="s">
        <v>43</v>
      </c>
      <c r="R1" s="119"/>
      <c r="S1" s="119"/>
      <c r="T1" s="119"/>
      <c r="U1" s="120"/>
      <c r="V1" s="118" t="s">
        <v>11</v>
      </c>
      <c r="W1" s="119"/>
      <c r="X1" s="119"/>
      <c r="Y1" s="119"/>
      <c r="Z1" s="120"/>
      <c r="AA1" s="118" t="s">
        <v>10</v>
      </c>
      <c r="AB1" s="119"/>
      <c r="AC1" s="119"/>
      <c r="AD1" s="119"/>
      <c r="AE1" s="120"/>
      <c r="AF1" s="118" t="s">
        <v>9</v>
      </c>
      <c r="AG1" s="119"/>
      <c r="AH1" s="119"/>
      <c r="AI1" s="119"/>
      <c r="AJ1" s="120"/>
      <c r="AK1" s="118" t="s">
        <v>8</v>
      </c>
      <c r="AL1" s="119"/>
      <c r="AM1" s="119"/>
      <c r="AN1" s="119"/>
      <c r="AO1" s="120"/>
      <c r="AP1" s="118" t="s">
        <v>7</v>
      </c>
      <c r="AQ1" s="119"/>
      <c r="AR1" s="119"/>
      <c r="AS1" s="119"/>
      <c r="AT1" s="120"/>
      <c r="AU1" s="118" t="s">
        <v>6</v>
      </c>
      <c r="AV1" s="119"/>
      <c r="AW1" s="119"/>
      <c r="AX1" s="119"/>
      <c r="AY1" s="120"/>
      <c r="AZ1" s="118" t="s">
        <v>22</v>
      </c>
      <c r="BA1" s="119"/>
      <c r="BB1" s="119"/>
      <c r="BC1" s="119"/>
      <c r="BD1" s="120"/>
      <c r="BE1" s="118" t="s">
        <v>122</v>
      </c>
      <c r="BF1" s="119"/>
      <c r="BG1" s="119"/>
      <c r="BH1" s="119"/>
      <c r="BI1" s="120"/>
      <c r="BJ1" s="118" t="s">
        <v>153</v>
      </c>
      <c r="BK1" s="119"/>
      <c r="BL1" s="119"/>
      <c r="BM1" s="119"/>
      <c r="BN1" s="120"/>
      <c r="BO1" s="118" t="s">
        <v>162</v>
      </c>
      <c r="BP1" s="119"/>
      <c r="BQ1" s="119"/>
      <c r="BR1" s="119"/>
      <c r="BS1" s="120"/>
      <c r="BT1" s="118" t="s">
        <v>215</v>
      </c>
      <c r="BU1" s="119"/>
      <c r="BV1" s="119"/>
      <c r="BW1" s="119"/>
      <c r="BX1" s="120"/>
      <c r="BY1" s="118" t="s">
        <v>221</v>
      </c>
      <c r="BZ1" s="119"/>
      <c r="CA1" s="119"/>
      <c r="CB1" s="119"/>
      <c r="CC1" s="120"/>
      <c r="CD1" s="118" t="s">
        <v>222</v>
      </c>
      <c r="CE1" s="119"/>
      <c r="CF1" s="119"/>
      <c r="CG1" s="119"/>
      <c r="CH1" s="120"/>
      <c r="CI1" s="118" t="s">
        <v>242</v>
      </c>
      <c r="CJ1" s="119"/>
      <c r="CK1" s="119"/>
      <c r="CL1" s="119"/>
      <c r="CM1" s="120"/>
      <c r="CN1" s="118" t="s">
        <v>254</v>
      </c>
      <c r="CO1" s="119"/>
      <c r="CP1" s="119"/>
      <c r="CQ1" s="119"/>
      <c r="CR1" s="120"/>
    </row>
    <row r="2" spans="1:96" ht="11.15" customHeight="1" thickBot="1" x14ac:dyDescent="0.3">
      <c r="A2" s="1" t="s">
        <v>197</v>
      </c>
      <c r="B2" s="2"/>
      <c r="G2" s="2"/>
      <c r="BK2" s="2"/>
      <c r="BP2" s="2"/>
      <c r="BU2" s="2"/>
      <c r="BZ2" s="2"/>
      <c r="CE2" s="2"/>
      <c r="CJ2" s="2"/>
      <c r="CO2" s="2"/>
    </row>
    <row r="3" spans="1:96" ht="11.15" customHeight="1" x14ac:dyDescent="0.25">
      <c r="A3" s="1" t="s">
        <v>39</v>
      </c>
      <c r="B3" s="121" t="s">
        <v>75</v>
      </c>
      <c r="C3" s="121"/>
      <c r="D3" s="121"/>
      <c r="E3" s="121"/>
      <c r="F3" s="56" t="s">
        <v>5</v>
      </c>
      <c r="G3" s="121" t="s">
        <v>0</v>
      </c>
      <c r="H3" s="121"/>
      <c r="I3" s="121"/>
      <c r="J3" s="121"/>
      <c r="K3" s="56" t="s">
        <v>5</v>
      </c>
      <c r="L3" s="121" t="s">
        <v>0</v>
      </c>
      <c r="M3" s="121"/>
      <c r="N3" s="121"/>
      <c r="O3" s="121"/>
      <c r="P3" s="56" t="s">
        <v>5</v>
      </c>
      <c r="Q3" s="121" t="s">
        <v>0</v>
      </c>
      <c r="R3" s="121"/>
      <c r="S3" s="121"/>
      <c r="T3" s="121"/>
      <c r="U3" s="56" t="s">
        <v>5</v>
      </c>
      <c r="V3" s="121" t="s">
        <v>0</v>
      </c>
      <c r="W3" s="121"/>
      <c r="X3" s="121"/>
      <c r="Y3" s="121"/>
      <c r="Z3" s="56" t="s">
        <v>5</v>
      </c>
      <c r="AA3" s="121" t="s">
        <v>0</v>
      </c>
      <c r="AB3" s="121"/>
      <c r="AC3" s="121"/>
      <c r="AD3" s="121"/>
      <c r="AE3" s="56" t="s">
        <v>5</v>
      </c>
      <c r="AF3" s="121" t="s">
        <v>0</v>
      </c>
      <c r="AG3" s="121"/>
      <c r="AH3" s="121"/>
      <c r="AI3" s="121"/>
      <c r="AJ3" s="56" t="s">
        <v>5</v>
      </c>
      <c r="AK3" s="121" t="s">
        <v>0</v>
      </c>
      <c r="AL3" s="121"/>
      <c r="AM3" s="121"/>
      <c r="AN3" s="121"/>
      <c r="AO3" s="56" t="s">
        <v>5</v>
      </c>
      <c r="AP3" s="121" t="s">
        <v>0</v>
      </c>
      <c r="AQ3" s="121"/>
      <c r="AR3" s="121"/>
      <c r="AS3" s="121"/>
      <c r="AT3" s="56" t="s">
        <v>5</v>
      </c>
      <c r="AU3" s="121" t="s">
        <v>0</v>
      </c>
      <c r="AV3" s="121"/>
      <c r="AW3" s="121"/>
      <c r="AX3" s="121"/>
      <c r="AY3" s="56" t="s">
        <v>5</v>
      </c>
      <c r="AZ3" s="121" t="s">
        <v>0</v>
      </c>
      <c r="BA3" s="121"/>
      <c r="BB3" s="121"/>
      <c r="BC3" s="121"/>
      <c r="BD3" s="56" t="s">
        <v>5</v>
      </c>
      <c r="BE3" s="121" t="s">
        <v>0</v>
      </c>
      <c r="BF3" s="121"/>
      <c r="BG3" s="121"/>
      <c r="BH3" s="121"/>
      <c r="BI3" s="56" t="s">
        <v>5</v>
      </c>
      <c r="BJ3" s="121" t="s">
        <v>0</v>
      </c>
      <c r="BK3" s="121"/>
      <c r="BL3" s="121"/>
      <c r="BM3" s="121"/>
      <c r="BN3" s="56" t="s">
        <v>5</v>
      </c>
      <c r="BO3" s="121" t="s">
        <v>0</v>
      </c>
      <c r="BP3" s="121"/>
      <c r="BQ3" s="121"/>
      <c r="BR3" s="121"/>
      <c r="BS3" s="56" t="s">
        <v>5</v>
      </c>
      <c r="BT3" s="121" t="s">
        <v>0</v>
      </c>
      <c r="BU3" s="121"/>
      <c r="BV3" s="121"/>
      <c r="BW3" s="121"/>
      <c r="BX3" s="56" t="s">
        <v>5</v>
      </c>
      <c r="BY3" s="121" t="s">
        <v>0</v>
      </c>
      <c r="BZ3" s="121"/>
      <c r="CA3" s="121"/>
      <c r="CB3" s="121"/>
      <c r="CC3" s="56" t="s">
        <v>5</v>
      </c>
      <c r="CD3" s="121" t="s">
        <v>0</v>
      </c>
      <c r="CE3" s="121"/>
      <c r="CF3" s="121"/>
      <c r="CG3" s="121"/>
      <c r="CH3" s="56" t="s">
        <v>5</v>
      </c>
      <c r="CI3" s="121" t="s">
        <v>0</v>
      </c>
      <c r="CJ3" s="121"/>
      <c r="CK3" s="121"/>
      <c r="CL3" s="121"/>
      <c r="CM3" s="56" t="s">
        <v>5</v>
      </c>
      <c r="CN3" s="121" t="s">
        <v>0</v>
      </c>
      <c r="CO3" s="121"/>
      <c r="CP3" s="121"/>
      <c r="CQ3" s="121"/>
      <c r="CR3" s="56" t="s">
        <v>5</v>
      </c>
    </row>
    <row r="4" spans="1:96" s="2" customFormat="1" ht="11.15" customHeight="1" x14ac:dyDescent="0.25">
      <c r="A4" s="6"/>
      <c r="B4" s="3">
        <v>38807</v>
      </c>
      <c r="C4" s="3">
        <v>38898</v>
      </c>
      <c r="D4" s="3">
        <v>38990</v>
      </c>
      <c r="E4" s="3">
        <v>39082</v>
      </c>
      <c r="F4" s="57">
        <v>39082</v>
      </c>
      <c r="G4" s="3">
        <v>39172</v>
      </c>
      <c r="H4" s="3">
        <v>39263</v>
      </c>
      <c r="I4" s="3">
        <v>39355</v>
      </c>
      <c r="J4" s="3">
        <v>39447</v>
      </c>
      <c r="K4" s="57">
        <v>39447</v>
      </c>
      <c r="L4" s="3">
        <v>39538</v>
      </c>
      <c r="M4" s="3">
        <v>39629</v>
      </c>
      <c r="N4" s="3">
        <v>39721</v>
      </c>
      <c r="O4" s="3">
        <v>39813</v>
      </c>
      <c r="P4" s="57">
        <v>39813</v>
      </c>
      <c r="Q4" s="3">
        <v>39903</v>
      </c>
      <c r="R4" s="3">
        <v>39994</v>
      </c>
      <c r="S4" s="3">
        <v>40086</v>
      </c>
      <c r="T4" s="3">
        <v>40178</v>
      </c>
      <c r="U4" s="57">
        <v>40178</v>
      </c>
      <c r="V4" s="3">
        <v>40268</v>
      </c>
      <c r="W4" s="3">
        <v>40359</v>
      </c>
      <c r="X4" s="3">
        <v>40451</v>
      </c>
      <c r="Y4" s="3">
        <v>40543</v>
      </c>
      <c r="Z4" s="57">
        <v>40543</v>
      </c>
      <c r="AA4" s="3">
        <v>40633</v>
      </c>
      <c r="AB4" s="3">
        <v>40724</v>
      </c>
      <c r="AC4" s="3">
        <v>40816</v>
      </c>
      <c r="AD4" s="3">
        <v>40908</v>
      </c>
      <c r="AE4" s="57">
        <v>40908</v>
      </c>
      <c r="AF4" s="3">
        <v>40999</v>
      </c>
      <c r="AG4" s="3">
        <v>41090</v>
      </c>
      <c r="AH4" s="3">
        <v>41182</v>
      </c>
      <c r="AI4" s="3">
        <v>41274</v>
      </c>
      <c r="AJ4" s="57">
        <v>41274</v>
      </c>
      <c r="AK4" s="3">
        <v>41364</v>
      </c>
      <c r="AL4" s="3">
        <v>41455</v>
      </c>
      <c r="AM4" s="3">
        <v>41547</v>
      </c>
      <c r="AN4" s="3">
        <v>41639</v>
      </c>
      <c r="AO4" s="57">
        <v>41639</v>
      </c>
      <c r="AP4" s="3">
        <v>41729</v>
      </c>
      <c r="AQ4" s="3">
        <v>41820</v>
      </c>
      <c r="AR4" s="3">
        <v>41912</v>
      </c>
      <c r="AS4" s="3">
        <v>42004</v>
      </c>
      <c r="AT4" s="57">
        <v>42004</v>
      </c>
      <c r="AU4" s="3">
        <v>42094</v>
      </c>
      <c r="AV4" s="3">
        <v>42185</v>
      </c>
      <c r="AW4" s="3">
        <v>42277</v>
      </c>
      <c r="AX4" s="3">
        <v>42369</v>
      </c>
      <c r="AY4" s="57">
        <v>42369</v>
      </c>
      <c r="AZ4" s="3">
        <v>42460</v>
      </c>
      <c r="BA4" s="3">
        <v>42551</v>
      </c>
      <c r="BB4" s="3">
        <v>42643</v>
      </c>
      <c r="BC4" s="3">
        <v>42735</v>
      </c>
      <c r="BD4" s="57">
        <v>42735</v>
      </c>
      <c r="BE4" s="3">
        <v>42825</v>
      </c>
      <c r="BF4" s="3">
        <v>42916</v>
      </c>
      <c r="BG4" s="3">
        <v>43008</v>
      </c>
      <c r="BH4" s="3">
        <v>43100</v>
      </c>
      <c r="BI4" s="57">
        <v>42735</v>
      </c>
      <c r="BJ4" s="3">
        <v>43190</v>
      </c>
      <c r="BK4" s="3">
        <v>43281</v>
      </c>
      <c r="BL4" s="3">
        <v>43373</v>
      </c>
      <c r="BM4" s="3">
        <v>43465</v>
      </c>
      <c r="BN4" s="57">
        <v>43465</v>
      </c>
      <c r="BO4" s="3">
        <v>43555</v>
      </c>
      <c r="BP4" s="3">
        <v>43646</v>
      </c>
      <c r="BQ4" s="3">
        <v>43738</v>
      </c>
      <c r="BR4" s="3">
        <v>43830</v>
      </c>
      <c r="BS4" s="57">
        <v>43830</v>
      </c>
      <c r="BT4" s="3">
        <v>43921</v>
      </c>
      <c r="BU4" s="3">
        <v>44012</v>
      </c>
      <c r="BV4" s="3">
        <v>44104</v>
      </c>
      <c r="BW4" s="3">
        <v>44196</v>
      </c>
      <c r="BX4" s="57">
        <v>44196</v>
      </c>
      <c r="BY4" s="3">
        <v>44286</v>
      </c>
      <c r="BZ4" s="3">
        <v>44377</v>
      </c>
      <c r="CA4" s="3">
        <v>44469</v>
      </c>
      <c r="CB4" s="3">
        <v>44561</v>
      </c>
      <c r="CC4" s="57">
        <v>44561</v>
      </c>
      <c r="CD4" s="3">
        <v>44651</v>
      </c>
      <c r="CE4" s="3">
        <v>44742</v>
      </c>
      <c r="CF4" s="3">
        <v>44834</v>
      </c>
      <c r="CG4" s="3">
        <v>44926</v>
      </c>
      <c r="CH4" s="57">
        <v>44561</v>
      </c>
      <c r="CI4" s="3">
        <v>45016</v>
      </c>
      <c r="CJ4" s="3">
        <v>45107</v>
      </c>
      <c r="CK4" s="3">
        <v>45199</v>
      </c>
      <c r="CL4" s="3">
        <v>45291</v>
      </c>
      <c r="CM4" s="57">
        <v>45291</v>
      </c>
      <c r="CN4" s="3">
        <v>45382</v>
      </c>
      <c r="CO4" s="3">
        <v>45473</v>
      </c>
      <c r="CP4" s="3">
        <v>45565</v>
      </c>
      <c r="CQ4" s="3">
        <v>45657</v>
      </c>
      <c r="CR4" s="57">
        <v>45657</v>
      </c>
    </row>
    <row r="5" spans="1:96" s="2" customFormat="1" ht="11.15" customHeight="1" x14ac:dyDescent="0.25">
      <c r="A5" s="35" t="s">
        <v>198</v>
      </c>
      <c r="B5" s="4"/>
      <c r="C5" s="4"/>
      <c r="D5" s="5"/>
      <c r="E5" s="5"/>
      <c r="F5" s="69"/>
      <c r="G5" s="4"/>
      <c r="H5" s="4"/>
      <c r="I5" s="5"/>
      <c r="J5" s="5"/>
      <c r="K5" s="69"/>
      <c r="L5" s="4"/>
      <c r="M5" s="4"/>
      <c r="N5" s="5"/>
      <c r="O5" s="5"/>
      <c r="P5" s="69"/>
      <c r="Q5" s="4"/>
      <c r="R5" s="4"/>
      <c r="S5" s="5"/>
      <c r="T5" s="5"/>
      <c r="U5" s="69"/>
      <c r="V5" s="4"/>
      <c r="W5" s="4"/>
      <c r="X5" s="5"/>
      <c r="Y5" s="5"/>
      <c r="Z5" s="69"/>
      <c r="AA5" s="4"/>
      <c r="AB5" s="4"/>
      <c r="AC5" s="5"/>
      <c r="AD5" s="5"/>
      <c r="AE5" s="69"/>
      <c r="AF5" s="4"/>
      <c r="AG5" s="4"/>
      <c r="AH5" s="5"/>
      <c r="AI5" s="5"/>
      <c r="AJ5" s="69"/>
      <c r="AK5" s="4"/>
      <c r="AL5" s="4"/>
      <c r="AM5" s="5"/>
      <c r="AN5" s="5"/>
      <c r="AO5" s="69"/>
      <c r="AP5" s="4"/>
      <c r="AQ5" s="4"/>
      <c r="AR5" s="5"/>
      <c r="AS5" s="5"/>
      <c r="AT5" s="69"/>
      <c r="AU5" s="4"/>
      <c r="AV5" s="4"/>
      <c r="AW5" s="5"/>
      <c r="AX5" s="5"/>
      <c r="AY5" s="69"/>
      <c r="AZ5" s="4"/>
      <c r="BA5" s="4"/>
      <c r="BB5" s="5"/>
      <c r="BC5" s="5"/>
      <c r="BD5" s="69"/>
      <c r="BE5" s="4"/>
      <c r="BF5" s="4"/>
      <c r="BG5" s="5"/>
      <c r="BH5" s="5"/>
      <c r="BI5" s="69"/>
      <c r="BJ5" s="4"/>
      <c r="BK5" s="4"/>
      <c r="BL5" s="5"/>
      <c r="BM5" s="5"/>
      <c r="BN5" s="69"/>
      <c r="BO5" s="4"/>
      <c r="BP5" s="4"/>
      <c r="BQ5" s="5"/>
      <c r="BR5" s="5"/>
      <c r="BS5" s="69"/>
      <c r="BT5" s="4"/>
      <c r="BU5" s="4"/>
      <c r="BV5" s="5"/>
      <c r="BW5" s="5"/>
      <c r="BX5" s="69"/>
      <c r="BY5" s="4"/>
      <c r="BZ5" s="4"/>
      <c r="CA5" s="5"/>
      <c r="CB5" s="5"/>
      <c r="CC5" s="69"/>
      <c r="CD5" s="4"/>
      <c r="CE5" s="4"/>
      <c r="CF5" s="4"/>
      <c r="CG5" s="5"/>
      <c r="CH5" s="69"/>
      <c r="CI5" s="4"/>
      <c r="CJ5" s="4"/>
      <c r="CK5" s="4"/>
      <c r="CL5" s="5"/>
      <c r="CM5" s="69"/>
      <c r="CN5" s="4"/>
      <c r="CO5" s="4"/>
      <c r="CP5" s="4"/>
      <c r="CQ5" s="5"/>
      <c r="CR5" s="69"/>
    </row>
    <row r="6" spans="1:96" s="2" customFormat="1" ht="11.15" customHeight="1" x14ac:dyDescent="0.25">
      <c r="A6" s="7" t="s">
        <v>24</v>
      </c>
      <c r="B6" s="8">
        <f>'Cash Flows Cumulative'!B6</f>
        <v>2549</v>
      </c>
      <c r="C6" s="8">
        <f>'Cash Flows Cumulative'!C6-'Cash Flows Cumulative'!B6</f>
        <v>4265</v>
      </c>
      <c r="D6" s="8">
        <f>'Cash Flows Cumulative'!D6-'Cash Flows Cumulative'!C6</f>
        <v>4229</v>
      </c>
      <c r="E6" s="8">
        <f>'Cash Flows Cumulative'!E6-'Cash Flows Cumulative'!D6</f>
        <v>-2071</v>
      </c>
      <c r="F6" s="58">
        <f>SUM(B6:E6)</f>
        <v>8972</v>
      </c>
      <c r="G6" s="8">
        <f>'Cash Flows Cumulative'!G6</f>
        <v>6985</v>
      </c>
      <c r="H6" s="8">
        <f>'Cash Flows Cumulative'!H6-'Cash Flows Cumulative'!G6</f>
        <v>6604</v>
      </c>
      <c r="I6" s="8">
        <f>'Cash Flows Cumulative'!I6-'Cash Flows Cumulative'!H6</f>
        <v>9816</v>
      </c>
      <c r="J6" s="8">
        <f>'Cash Flows Cumulative'!J6-'Cash Flows Cumulative'!I6</f>
        <v>8683</v>
      </c>
      <c r="K6" s="58">
        <f>SUM(G6:J6)</f>
        <v>32088</v>
      </c>
      <c r="L6" s="8">
        <f>'Cash Flows Cumulative'!L6</f>
        <v>8495</v>
      </c>
      <c r="M6" s="8">
        <f>'Cash Flows Cumulative'!M6-'Cash Flows Cumulative'!L6</f>
        <v>9021</v>
      </c>
      <c r="N6" s="8">
        <f>'Cash Flows Cumulative'!N6-'Cash Flows Cumulative'!M6</f>
        <v>11482</v>
      </c>
      <c r="O6" s="8">
        <f>'Cash Flows Cumulative'!O6-'Cash Flows Cumulative'!N6</f>
        <v>9455</v>
      </c>
      <c r="P6" s="58">
        <f>SUM(L6:O6)</f>
        <v>38453</v>
      </c>
      <c r="Q6" s="8">
        <f>'Cash Flows Cumulative'!Q6</f>
        <v>1026</v>
      </c>
      <c r="R6" s="8">
        <f>'Cash Flows Cumulative'!R6-'Cash Flows Cumulative'!Q6</f>
        <v>-1165</v>
      </c>
      <c r="S6" s="8">
        <f>'Cash Flows Cumulative'!S6-'Cash Flows Cumulative'!R6</f>
        <v>2266</v>
      </c>
      <c r="T6" s="8">
        <f>'Cash Flows Cumulative'!T6-'Cash Flows Cumulative'!S6</f>
        <v>3157</v>
      </c>
      <c r="U6" s="58">
        <f>SUM(Q6:T6)</f>
        <v>5284</v>
      </c>
      <c r="V6" s="8">
        <f>'Cash Flows Cumulative'!V6</f>
        <v>3424</v>
      </c>
      <c r="W6" s="8">
        <f>'Cash Flows Cumulative'!W6-'Cash Flows Cumulative'!V6</f>
        <v>10345</v>
      </c>
      <c r="X6" s="8">
        <f>'Cash Flows Cumulative'!X6-'Cash Flows Cumulative'!W6</f>
        <v>13315</v>
      </c>
      <c r="Y6" s="8">
        <f>'Cash Flows Cumulative'!Y6-'Cash Flows Cumulative'!X6</f>
        <v>27268</v>
      </c>
      <c r="Z6" s="58">
        <f>SUM(V6:Y6)</f>
        <v>54352</v>
      </c>
      <c r="AA6" s="8">
        <f>'Cash Flows Cumulative'!AA6</f>
        <v>23378</v>
      </c>
      <c r="AB6" s="8">
        <f>'Cash Flows Cumulative'!AB6-'Cash Flows Cumulative'!AA6</f>
        <v>31507</v>
      </c>
      <c r="AC6" s="8">
        <f>'Cash Flows Cumulative'!AC6-'Cash Flows Cumulative'!AB6</f>
        <v>34269</v>
      </c>
      <c r="AD6" s="8">
        <f>'Cash Flows Cumulative'!AD6-'Cash Flows Cumulative'!AC6</f>
        <v>31855</v>
      </c>
      <c r="AE6" s="58">
        <f>SUM(AA6:AD6)</f>
        <v>121009</v>
      </c>
      <c r="AF6" s="8">
        <f>'Cash Flows Cumulative'!AF6</f>
        <v>30548</v>
      </c>
      <c r="AG6" s="8">
        <f>'Cash Flows Cumulative'!AG6-'Cash Flows Cumulative'!AF6</f>
        <v>39849</v>
      </c>
      <c r="AH6" s="8">
        <f>'Cash Flows Cumulative'!AH6-'Cash Flows Cumulative'!AG6</f>
        <v>42435</v>
      </c>
      <c r="AI6" s="8">
        <f>'Cash Flows Cumulative'!AI6-'Cash Flows Cumulative'!AH6</f>
        <v>34912</v>
      </c>
      <c r="AJ6" s="58">
        <f>SUM(AF6:AI6)</f>
        <v>147744</v>
      </c>
      <c r="AK6" s="8">
        <f>'Cash Flows Cumulative'!AK6</f>
        <v>35127</v>
      </c>
      <c r="AL6" s="8">
        <f>'Cash Flows Cumulative'!AL6-'Cash Flows Cumulative'!AK6</f>
        <v>41720</v>
      </c>
      <c r="AM6" s="8">
        <f>'Cash Flows Cumulative'!AM6-'Cash Flows Cumulative'!AL6</f>
        <v>42338</v>
      </c>
      <c r="AN6" s="8">
        <f>'Cash Flows Cumulative'!AN6-'Cash Flows Cumulative'!AM6</f>
        <v>36595</v>
      </c>
      <c r="AO6" s="58">
        <f>SUM(AK6:AN6)</f>
        <v>155780</v>
      </c>
      <c r="AP6" s="8">
        <f>'Cash Flows Cumulative'!AP6</f>
        <v>40531</v>
      </c>
      <c r="AQ6" s="8">
        <f>'Cash Flows Cumulative'!AQ6-'Cash Flows Cumulative'!AP6</f>
        <v>48283</v>
      </c>
      <c r="AR6" s="8">
        <f>'Cash Flows Cumulative'!AR6-'Cash Flows Cumulative'!AQ6</f>
        <v>55200</v>
      </c>
      <c r="AS6" s="8">
        <f>'Cash Flows Cumulative'!AS6-'Cash Flows Cumulative'!AR6</f>
        <v>56431</v>
      </c>
      <c r="AT6" s="58">
        <f>SUM(AP6:AS6)</f>
        <v>200445</v>
      </c>
      <c r="AU6" s="8">
        <f>'Cash Flows Cumulative'!AU6</f>
        <v>57346</v>
      </c>
      <c r="AV6" s="8">
        <f>'Cash Flows Cumulative'!AV6-'Cash Flows Cumulative'!AU6</f>
        <v>61244</v>
      </c>
      <c r="AW6" s="8">
        <f>'Cash Flows Cumulative'!AW6-'Cash Flows Cumulative'!AV6</f>
        <v>62759</v>
      </c>
      <c r="AX6" s="8">
        <f>'Cash Flows Cumulative'!AX6-'Cash Flows Cumulative'!AW6</f>
        <v>60678</v>
      </c>
      <c r="AY6" s="58">
        <f>SUM(AU6:AX6)</f>
        <v>242027</v>
      </c>
      <c r="AZ6" s="8">
        <f>'Cash Flows Cumulative'!AZ6</f>
        <v>49328</v>
      </c>
      <c r="BA6" s="8">
        <f>'Cash Flows Cumulative'!BA6-'Cash Flows Cumulative'!AZ6</f>
        <v>67032</v>
      </c>
      <c r="BB6" s="8">
        <f>'Cash Flows Cumulative'!BB6-'Cash Flows Cumulative'!BA6</f>
        <v>69227</v>
      </c>
      <c r="BC6" s="8">
        <f>'Cash Flows Cumulative'!BC6-'Cash Flows Cumulative'!BB6</f>
        <v>75129</v>
      </c>
      <c r="BD6" s="58">
        <f>SUM(AZ6:BC6)</f>
        <v>260716</v>
      </c>
      <c r="BE6" s="8">
        <f>'Cash Flows Cumulative'!BE6</f>
        <v>74932</v>
      </c>
      <c r="BF6" s="8">
        <f>'Cash Flows Cumulative'!BF6-'Cash Flows Cumulative'!BE6</f>
        <v>104103</v>
      </c>
      <c r="BG6" s="8">
        <f>'Cash Flows Cumulative'!BG6-'Cash Flows Cumulative'!BF6</f>
        <v>115597</v>
      </c>
      <c r="BH6" s="8">
        <f>'Cash Flows Cumulative'!BH6-'Cash Flows Cumulative'!BG6</f>
        <v>52956</v>
      </c>
      <c r="BI6" s="58">
        <f>SUM(BE6:BH6)</f>
        <v>347588</v>
      </c>
      <c r="BJ6" s="8">
        <f>'Cash Flows Cumulative'!BJ6</f>
        <v>106334</v>
      </c>
      <c r="BK6" s="8">
        <f>'Cash Flows Cumulative'!BK6-'Cash Flows Cumulative'!BJ6</f>
        <v>121617</v>
      </c>
      <c r="BL6" s="8">
        <f>'Cash Flows Cumulative'!BL6-'Cash Flows Cumulative'!BK6</f>
        <v>100752</v>
      </c>
      <c r="BM6" s="8">
        <f>'Cash Flows Cumulative'!BM6-'Cash Flows Cumulative'!BL6</f>
        <v>75466</v>
      </c>
      <c r="BN6" s="58">
        <f>SUM(BJ6:BM6)</f>
        <v>404169</v>
      </c>
      <c r="BO6" s="8">
        <f>'Cash Flows Cumulative'!BO6</f>
        <v>54916</v>
      </c>
      <c r="BP6" s="8">
        <f>'Cash Flows Cumulative'!BP6-'Cash Flows Cumulative'!BO6</f>
        <v>72521</v>
      </c>
      <c r="BQ6" s="8">
        <f>'Cash Flows Cumulative'!BQ6-'Cash Flows Cumulative'!BP6</f>
        <v>57127</v>
      </c>
      <c r="BR6" s="8">
        <f>'Cash Flows Cumulative'!BR6-'Cash Flows Cumulative'!BQ6</f>
        <v>-4303</v>
      </c>
      <c r="BS6" s="58">
        <f>SUM(BO6:BR6)</f>
        <v>180261</v>
      </c>
      <c r="BT6" s="8">
        <f>'Cash Flows Cumulative'!BT6</f>
        <v>36766</v>
      </c>
      <c r="BU6" s="8">
        <f>'Cash Flows Cumulative'!BU6-'Cash Flows Cumulative'!BT6</f>
        <v>38366</v>
      </c>
      <c r="BV6" s="8">
        <f>'Cash Flows Cumulative'!BV6-'Cash Flows Cumulative'!BU6</f>
        <v>35530</v>
      </c>
      <c r="BW6" s="8">
        <f>'Cash Flows Cumulative'!BW6-'Cash Flows Cumulative'!BV6</f>
        <v>49676</v>
      </c>
      <c r="BX6" s="58">
        <f>SUM(BT6:BW6)</f>
        <v>160338</v>
      </c>
      <c r="BY6" s="8">
        <f>'Cash Flows Cumulative'!BY6</f>
        <v>68222</v>
      </c>
      <c r="BZ6" s="8">
        <f>'Cash Flows Cumulative'!BZ6-'Cash Flows Cumulative'!BY6</f>
        <v>69677</v>
      </c>
      <c r="CA6" s="8">
        <f>'Cash Flows Cumulative'!CA6-'Cash Flows Cumulative'!BZ6</f>
        <v>74699</v>
      </c>
      <c r="CB6" s="8">
        <f>'Cash Flows Cumulative'!CB6-'Cash Flows Cumulative'!CA6</f>
        <v>65268</v>
      </c>
      <c r="CC6" s="58">
        <f>SUM(BY6:CB6)</f>
        <v>277866</v>
      </c>
      <c r="CD6" s="8">
        <f>'Cash Flows Cumulative'!CD6</f>
        <v>69628</v>
      </c>
      <c r="CE6" s="8">
        <f>'Cash Flows Cumulative'!CE6-'Cash Flows Cumulative'!CD6</f>
        <v>57331</v>
      </c>
      <c r="CF6" s="8">
        <f>'Cash Flows Cumulative'!CF6-'Cash Flows Cumulative'!CE6</f>
        <v>76698</v>
      </c>
      <c r="CG6" s="8">
        <f>'Cash Flows Cumulative'!CG6-'Cash Flows Cumulative'!CF6</f>
        <v>-92895</v>
      </c>
      <c r="CH6" s="58">
        <f>SUM(CD6:CG6)</f>
        <v>110762</v>
      </c>
      <c r="CI6" s="8">
        <f>'Cash Flows Cumulative'!CI6</f>
        <v>60135</v>
      </c>
      <c r="CJ6" s="8">
        <f>'Cash Flows Cumulative'!CJ6-'Cash Flows Cumulative'!CI6</f>
        <v>62321</v>
      </c>
      <c r="CK6" s="8">
        <f>'Cash Flows Cumulative'!CK6-'Cash Flows Cumulative'!CJ6</f>
        <v>54994</v>
      </c>
      <c r="CL6" s="8">
        <f>'Cash Flows Cumulative'!CL6-'Cash Flows Cumulative'!CK6</f>
        <v>41428</v>
      </c>
      <c r="CM6" s="58">
        <f>SUM(CI6:CL6)</f>
        <v>218878</v>
      </c>
      <c r="CN6" s="8">
        <f>'Cash Flows Cumulative'!CN6</f>
        <v>24099</v>
      </c>
      <c r="CO6" s="8">
        <f>'Cash Flows Cumulative'!CO6-'Cash Flows Cumulative'!CN6</f>
        <v>20154</v>
      </c>
      <c r="CP6" s="8"/>
      <c r="CQ6" s="8"/>
      <c r="CR6" s="58">
        <f>SUM(CN6:CQ6)</f>
        <v>44253</v>
      </c>
    </row>
    <row r="7" spans="1:96" ht="11.15" customHeight="1" x14ac:dyDescent="0.2">
      <c r="A7" s="7" t="s">
        <v>243</v>
      </c>
      <c r="B7" s="11"/>
      <c r="C7" s="11"/>
      <c r="D7" s="11"/>
      <c r="E7" s="11"/>
      <c r="F7" s="61"/>
      <c r="G7" s="11"/>
      <c r="H7" s="11"/>
      <c r="I7" s="11"/>
      <c r="J7" s="11"/>
      <c r="K7" s="61"/>
      <c r="L7" s="11"/>
      <c r="M7" s="11"/>
      <c r="N7" s="11"/>
      <c r="O7" s="11"/>
      <c r="P7" s="61"/>
      <c r="Q7" s="11"/>
      <c r="R7" s="11"/>
      <c r="S7" s="11"/>
      <c r="T7" s="11"/>
      <c r="U7" s="61"/>
      <c r="V7" s="11"/>
      <c r="W7" s="11"/>
      <c r="X7" s="11"/>
      <c r="Y7" s="11"/>
      <c r="Z7" s="61"/>
      <c r="AA7" s="11"/>
      <c r="AB7" s="11"/>
      <c r="AC7" s="11"/>
      <c r="AD7" s="11"/>
      <c r="AE7" s="61"/>
      <c r="AF7" s="11"/>
      <c r="AG7" s="11"/>
      <c r="AH7" s="11"/>
      <c r="AI7" s="11"/>
      <c r="AJ7" s="61"/>
      <c r="AK7" s="11"/>
      <c r="AL7" s="11"/>
      <c r="AM7" s="11"/>
      <c r="AN7" s="11"/>
      <c r="AO7" s="61"/>
      <c r="AP7" s="11"/>
      <c r="AQ7" s="11"/>
      <c r="AR7" s="11"/>
      <c r="AS7" s="11"/>
      <c r="AT7" s="61"/>
      <c r="AU7" s="11"/>
      <c r="AV7" s="11"/>
      <c r="AW7" s="11"/>
      <c r="AX7" s="11"/>
      <c r="AY7" s="61"/>
      <c r="AZ7" s="11"/>
      <c r="BA7" s="11"/>
      <c r="BB7" s="11"/>
      <c r="BC7" s="11"/>
      <c r="BD7" s="61"/>
      <c r="BE7" s="11"/>
      <c r="BF7" s="11"/>
      <c r="BG7" s="11"/>
      <c r="BH7" s="11"/>
      <c r="BI7" s="61"/>
      <c r="BJ7" s="11"/>
      <c r="BK7" s="11"/>
      <c r="BL7" s="11"/>
      <c r="BM7" s="11"/>
      <c r="BN7" s="61"/>
      <c r="BO7" s="11"/>
      <c r="BP7" s="11"/>
      <c r="BQ7" s="11"/>
      <c r="BR7" s="11"/>
      <c r="BS7" s="61"/>
      <c r="BT7" s="11"/>
      <c r="BU7" s="11"/>
      <c r="BV7" s="11"/>
      <c r="BW7" s="11"/>
      <c r="BX7" s="61"/>
      <c r="BY7" s="11"/>
      <c r="BZ7" s="11"/>
      <c r="CA7" s="11"/>
      <c r="CB7" s="11"/>
      <c r="CC7" s="61"/>
      <c r="CD7" s="11"/>
      <c r="CE7" s="11"/>
      <c r="CF7" s="11"/>
      <c r="CG7" s="11"/>
      <c r="CH7" s="61"/>
      <c r="CI7" s="11"/>
      <c r="CJ7" s="11"/>
      <c r="CK7" s="11"/>
      <c r="CL7" s="11"/>
      <c r="CM7" s="61"/>
      <c r="CN7" s="11"/>
      <c r="CO7" s="8"/>
      <c r="CP7" s="11"/>
      <c r="CQ7" s="11"/>
      <c r="CR7" s="61"/>
    </row>
    <row r="8" spans="1:96" ht="11.15" customHeight="1" x14ac:dyDescent="0.2">
      <c r="A8" s="21" t="s">
        <v>25</v>
      </c>
      <c r="B8" s="11">
        <f>'Cash Flows Cumulative'!B8</f>
        <v>1817</v>
      </c>
      <c r="C8" s="11">
        <f>'Cash Flows Cumulative'!C8-'Cash Flows Cumulative'!B8</f>
        <v>1937</v>
      </c>
      <c r="D8" s="11">
        <f>'Cash Flows Cumulative'!D8-'Cash Flows Cumulative'!C8</f>
        <v>1910</v>
      </c>
      <c r="E8" s="11">
        <f>'Cash Flows Cumulative'!E8-'Cash Flows Cumulative'!D8</f>
        <v>3441</v>
      </c>
      <c r="F8" s="61">
        <f t="shared" ref="F8:F24" si="0">SUM(B8:E8)</f>
        <v>9105</v>
      </c>
      <c r="G8" s="11">
        <f>'Cash Flows Cumulative'!G8</f>
        <v>2725</v>
      </c>
      <c r="H8" s="11">
        <f>'Cash Flows Cumulative'!H8-'Cash Flows Cumulative'!G8</f>
        <v>2685</v>
      </c>
      <c r="I8" s="11">
        <f>'Cash Flows Cumulative'!I8-'Cash Flows Cumulative'!H8</f>
        <v>3145</v>
      </c>
      <c r="J8" s="11">
        <f>'Cash Flows Cumulative'!J8-'Cash Flows Cumulative'!I8</f>
        <v>3749</v>
      </c>
      <c r="K8" s="61">
        <f t="shared" ref="K8:K24" si="1">SUM(G8:J8)</f>
        <v>12304</v>
      </c>
      <c r="L8" s="11">
        <f>'Cash Flows Cumulative'!L8</f>
        <v>3609</v>
      </c>
      <c r="M8" s="11">
        <f>'Cash Flows Cumulative'!M8-'Cash Flows Cumulative'!L8</f>
        <v>3916</v>
      </c>
      <c r="N8" s="11">
        <f>'Cash Flows Cumulative'!N8-'Cash Flows Cumulative'!M8</f>
        <v>3576</v>
      </c>
      <c r="O8" s="11">
        <f>'Cash Flows Cumulative'!O8-'Cash Flows Cumulative'!N8</f>
        <v>4733</v>
      </c>
      <c r="P8" s="61">
        <f t="shared" ref="P8:P24" si="2">SUM(L8:O8)</f>
        <v>15834</v>
      </c>
      <c r="Q8" s="11">
        <f>'Cash Flows Cumulative'!Q8</f>
        <v>4380</v>
      </c>
      <c r="R8" s="11">
        <f>'Cash Flows Cumulative'!R8-'Cash Flows Cumulative'!Q8</f>
        <v>4663</v>
      </c>
      <c r="S8" s="11">
        <f>'Cash Flows Cumulative'!S8-'Cash Flows Cumulative'!R8</f>
        <v>4981</v>
      </c>
      <c r="T8" s="11">
        <f>'Cash Flows Cumulative'!T8-'Cash Flows Cumulative'!S8</f>
        <v>5148</v>
      </c>
      <c r="U8" s="61">
        <f t="shared" ref="U8:U24" si="3">SUM(Q8:T8)</f>
        <v>19172</v>
      </c>
      <c r="V8" s="11">
        <f>'Cash Flows Cumulative'!V8</f>
        <v>5226</v>
      </c>
      <c r="W8" s="11">
        <f>'Cash Flows Cumulative'!W8-'Cash Flows Cumulative'!V8</f>
        <v>5288</v>
      </c>
      <c r="X8" s="11">
        <f>'Cash Flows Cumulative'!X8-'Cash Flows Cumulative'!W8</f>
        <v>5584</v>
      </c>
      <c r="Y8" s="11">
        <f>'Cash Flows Cumulative'!Y8-'Cash Flows Cumulative'!X8</f>
        <v>5747</v>
      </c>
      <c r="Z8" s="61">
        <f t="shared" ref="Z8:Z24" si="4">SUM(V8:Y8)</f>
        <v>21845</v>
      </c>
      <c r="AA8" s="11">
        <f>'Cash Flows Cumulative'!AA8</f>
        <v>5658</v>
      </c>
      <c r="AB8" s="11">
        <f>'Cash Flows Cumulative'!AB8-'Cash Flows Cumulative'!AA8</f>
        <v>6297</v>
      </c>
      <c r="AC8" s="11">
        <f>'Cash Flows Cumulative'!AC8-'Cash Flows Cumulative'!AB8</f>
        <v>6227</v>
      </c>
      <c r="AD8" s="11">
        <f>'Cash Flows Cumulative'!AD8-'Cash Flows Cumulative'!AC8</f>
        <v>5780</v>
      </c>
      <c r="AE8" s="61">
        <f t="shared" ref="AE8:AE24" si="5">SUM(AA8:AD8)</f>
        <v>23962</v>
      </c>
      <c r="AF8" s="11">
        <f>'Cash Flows Cumulative'!AF8</f>
        <v>6215</v>
      </c>
      <c r="AG8" s="11">
        <f>'Cash Flows Cumulative'!AG8-'Cash Flows Cumulative'!AF8</f>
        <v>6143</v>
      </c>
      <c r="AH8" s="11">
        <f>'Cash Flows Cumulative'!AH8-'Cash Flows Cumulative'!AG8</f>
        <v>6810</v>
      </c>
      <c r="AI8" s="11">
        <f>'Cash Flows Cumulative'!AI8-'Cash Flows Cumulative'!AH8</f>
        <v>6976</v>
      </c>
      <c r="AJ8" s="61">
        <f t="shared" ref="AJ8:AJ24" si="6">SUM(AF8:AI8)</f>
        <v>26144</v>
      </c>
      <c r="AK8" s="11">
        <f>'Cash Flows Cumulative'!AK8</f>
        <v>7217</v>
      </c>
      <c r="AL8" s="11">
        <f>'Cash Flows Cumulative'!AL8-'Cash Flows Cumulative'!AK8</f>
        <v>7668</v>
      </c>
      <c r="AM8" s="11">
        <f>'Cash Flows Cumulative'!AM8-'Cash Flows Cumulative'!AL8</f>
        <v>8529</v>
      </c>
      <c r="AN8" s="11">
        <f>'Cash Flows Cumulative'!AN8-'Cash Flows Cumulative'!AM8</f>
        <v>8110</v>
      </c>
      <c r="AO8" s="61">
        <f t="shared" ref="AO8:AO24" si="7">SUM(AK8:AN8)</f>
        <v>31524</v>
      </c>
      <c r="AP8" s="11">
        <f>'Cash Flows Cumulative'!AP8</f>
        <v>8102</v>
      </c>
      <c r="AQ8" s="11">
        <f>'Cash Flows Cumulative'!AQ8-'Cash Flows Cumulative'!AP8</f>
        <v>8986</v>
      </c>
      <c r="AR8" s="11">
        <f>'Cash Flows Cumulative'!AR8-'Cash Flows Cumulative'!AQ8</f>
        <v>9321</v>
      </c>
      <c r="AS8" s="11">
        <f>'Cash Flows Cumulative'!AS8-'Cash Flows Cumulative'!AR8</f>
        <v>9203</v>
      </c>
      <c r="AT8" s="61">
        <f t="shared" ref="AT8:AT24" si="8">SUM(AP8:AS8)</f>
        <v>35612</v>
      </c>
      <c r="AU8" s="11">
        <f>'Cash Flows Cumulative'!AU8</f>
        <v>9743</v>
      </c>
      <c r="AV8" s="11">
        <f>'Cash Flows Cumulative'!AV8-'Cash Flows Cumulative'!AU8</f>
        <v>10433</v>
      </c>
      <c r="AW8" s="11">
        <f>'Cash Flows Cumulative'!AW8-'Cash Flows Cumulative'!AV8</f>
        <v>10903</v>
      </c>
      <c r="AX8" s="11">
        <f>'Cash Flows Cumulative'!AX8-'Cash Flows Cumulative'!AW8</f>
        <v>11336</v>
      </c>
      <c r="AY8" s="61">
        <f t="shared" ref="AY8:AY24" si="9">SUM(AU8:AX8)</f>
        <v>42415</v>
      </c>
      <c r="AZ8" s="11">
        <f>'Cash Flows Cumulative'!AZ8</f>
        <v>11394</v>
      </c>
      <c r="BA8" s="11">
        <f>'Cash Flows Cumulative'!BA8-'Cash Flows Cumulative'!AZ8</f>
        <v>12259</v>
      </c>
      <c r="BB8" s="11">
        <f>'Cash Flows Cumulative'!BB8-'Cash Flows Cumulative'!BA8</f>
        <v>13993</v>
      </c>
      <c r="BC8" s="11">
        <f>'Cash Flows Cumulative'!BC8-'Cash Flows Cumulative'!BB8</f>
        <v>13829</v>
      </c>
      <c r="BD8" s="61">
        <f t="shared" ref="BD8:BD24" si="10">SUM(AZ8:BC8)</f>
        <v>51475</v>
      </c>
      <c r="BE8" s="11">
        <f>'Cash Flows Cumulative'!BE8</f>
        <v>14504</v>
      </c>
      <c r="BF8" s="11">
        <f>'Cash Flows Cumulative'!BF8-'Cash Flows Cumulative'!BE8</f>
        <v>15210</v>
      </c>
      <c r="BG8" s="11">
        <f>'Cash Flows Cumulative'!BG8-'Cash Flows Cumulative'!BF8</f>
        <v>16702</v>
      </c>
      <c r="BH8" s="11">
        <f>'Cash Flows Cumulative'!BH8-'Cash Flows Cumulative'!BG8</f>
        <v>18152</v>
      </c>
      <c r="BI8" s="61">
        <f t="shared" ref="BI8:BI24" si="11">SUM(BE8:BH8)</f>
        <v>64568</v>
      </c>
      <c r="BJ8" s="11">
        <f>'Cash Flows Cumulative'!BJ8</f>
        <v>19223</v>
      </c>
      <c r="BK8" s="11">
        <f>'Cash Flows Cumulative'!BK8-'Cash Flows Cumulative'!BJ8</f>
        <v>19504</v>
      </c>
      <c r="BL8" s="11">
        <f>'Cash Flows Cumulative'!BL8-'Cash Flows Cumulative'!BK8</f>
        <v>20167</v>
      </c>
      <c r="BM8" s="11">
        <f>'Cash Flows Cumulative'!BM8-'Cash Flows Cumulative'!BL8</f>
        <v>21377</v>
      </c>
      <c r="BN8" s="61">
        <f t="shared" ref="BN8:BN24" si="12">SUM(BJ8:BM8)</f>
        <v>80271</v>
      </c>
      <c r="BO8" s="11">
        <f>'Cash Flows Cumulative'!BO8</f>
        <v>22802</v>
      </c>
      <c r="BP8" s="11">
        <f>'Cash Flows Cumulative'!BP8-'Cash Flows Cumulative'!BO8</f>
        <v>24684</v>
      </c>
      <c r="BQ8" s="11">
        <f>'Cash Flows Cumulative'!BQ8-'Cash Flows Cumulative'!BP8</f>
        <v>25045</v>
      </c>
      <c r="BR8" s="11">
        <f>'Cash Flows Cumulative'!BR8-'Cash Flows Cumulative'!BQ8</f>
        <v>23737</v>
      </c>
      <c r="BS8" s="61">
        <f t="shared" ref="BS8:BS24" si="13">SUM(BO8:BR8)</f>
        <v>96268</v>
      </c>
      <c r="BT8" s="11">
        <f>'Cash Flows Cumulative'!BT8</f>
        <v>24099</v>
      </c>
      <c r="BU8" s="11">
        <f>'Cash Flows Cumulative'!BU8-'Cash Flows Cumulative'!BT8</f>
        <v>23251</v>
      </c>
      <c r="BV8" s="11">
        <f>'Cash Flows Cumulative'!BV8-'Cash Flows Cumulative'!BU8</f>
        <v>23838</v>
      </c>
      <c r="BW8" s="11">
        <f>'Cash Flows Cumulative'!BW8-'Cash Flows Cumulative'!BV8</f>
        <v>23366</v>
      </c>
      <c r="BX8" s="61">
        <f t="shared" ref="BX8:BX24" si="14">SUM(BT8:BW8)</f>
        <v>94554</v>
      </c>
      <c r="BY8" s="11">
        <f>'Cash Flows Cumulative'!BY8</f>
        <v>23819</v>
      </c>
      <c r="BZ8" s="11">
        <f>'Cash Flows Cumulative'!BZ8-'Cash Flows Cumulative'!BY8</f>
        <v>24157</v>
      </c>
      <c r="CA8" s="11">
        <f>'Cash Flows Cumulative'!CA8-'Cash Flows Cumulative'!BZ8</f>
        <v>24151</v>
      </c>
      <c r="CB8" s="11">
        <f>'Cash Flows Cumulative'!CB8-'Cash Flows Cumulative'!CA8</f>
        <v>24203</v>
      </c>
      <c r="CC8" s="61">
        <f t="shared" ref="CC8:CC24" si="15">SUM(BY8:CB8)</f>
        <v>96330</v>
      </c>
      <c r="CD8" s="11">
        <f>'Cash Flows Cumulative'!CD8</f>
        <v>23435</v>
      </c>
      <c r="CE8" s="103">
        <f>'Cash Flows Cumulative'!CE8-'Cash Flows Cumulative'!CD8</f>
        <v>23669</v>
      </c>
      <c r="CF8" s="103">
        <f>'Cash Flows Cumulative'!CF8-'Cash Flows Cumulative'!CE8</f>
        <v>22748</v>
      </c>
      <c r="CG8" s="103">
        <f>'Cash Flows Cumulative'!CG8-'Cash Flows Cumulative'!CF8</f>
        <v>20712</v>
      </c>
      <c r="CH8" s="61">
        <f t="shared" ref="CH8:CH24" si="16">SUM(CD8:CG8)</f>
        <v>90564</v>
      </c>
      <c r="CI8" s="11">
        <f>'Cash Flows Cumulative'!CI8</f>
        <v>17889</v>
      </c>
      <c r="CJ8" s="11">
        <f>'Cash Flows Cumulative'!CJ8-'Cash Flows Cumulative'!CI8</f>
        <v>17454</v>
      </c>
      <c r="CK8" s="11">
        <f>'Cash Flows Cumulative'!CK8-'Cash Flows Cumulative'!CJ8</f>
        <v>17335</v>
      </c>
      <c r="CL8" s="11">
        <f>'Cash Flows Cumulative'!CL8-'Cash Flows Cumulative'!CK8</f>
        <v>16943</v>
      </c>
      <c r="CM8" s="61">
        <f t="shared" ref="CM8:CM24" si="17">SUM(CI8:CL8)</f>
        <v>69621</v>
      </c>
      <c r="CN8" s="11">
        <f>'Cash Flows Cumulative'!CN8</f>
        <v>16214</v>
      </c>
      <c r="CO8" s="11">
        <f>'Cash Flows Cumulative'!CO8-'Cash Flows Cumulative'!CN8</f>
        <v>15292</v>
      </c>
      <c r="CP8" s="11"/>
      <c r="CQ8" s="11"/>
      <c r="CR8" s="61">
        <f t="shared" ref="CR8:CR24" si="18">SUM(CN8:CQ8)</f>
        <v>31506</v>
      </c>
    </row>
    <row r="9" spans="1:96" ht="11.15" customHeight="1" x14ac:dyDescent="0.2">
      <c r="A9" s="21" t="s">
        <v>212</v>
      </c>
      <c r="B9" s="11">
        <f>'Cash Flows Cumulative'!B9</f>
        <v>0</v>
      </c>
      <c r="C9" s="11">
        <f>'Cash Flows Cumulative'!C9-'Cash Flows Cumulative'!B9</f>
        <v>0</v>
      </c>
      <c r="D9" s="11">
        <f>'Cash Flows Cumulative'!D9-'Cash Flows Cumulative'!C9</f>
        <v>0</v>
      </c>
      <c r="E9" s="11">
        <f>'Cash Flows Cumulative'!E9-'Cash Flows Cumulative'!D9</f>
        <v>0</v>
      </c>
      <c r="F9" s="61">
        <f t="shared" ref="F9:F10" si="19">SUM(B9:E9)</f>
        <v>0</v>
      </c>
      <c r="G9" s="11">
        <f>'Cash Flows Cumulative'!G9</f>
        <v>0</v>
      </c>
      <c r="H9" s="11">
        <f>'Cash Flows Cumulative'!H9-'Cash Flows Cumulative'!G9</f>
        <v>0</v>
      </c>
      <c r="I9" s="11">
        <f>'Cash Flows Cumulative'!I9-'Cash Flows Cumulative'!H9</f>
        <v>0</v>
      </c>
      <c r="J9" s="11">
        <f>'Cash Flows Cumulative'!J9-'Cash Flows Cumulative'!I9</f>
        <v>0</v>
      </c>
      <c r="K9" s="61">
        <f t="shared" ref="K9:K10" si="20">SUM(G9:J9)</f>
        <v>0</v>
      </c>
      <c r="L9" s="11">
        <f>'Cash Flows Cumulative'!L9</f>
        <v>0</v>
      </c>
      <c r="M9" s="11">
        <f>'Cash Flows Cumulative'!M9-'Cash Flows Cumulative'!L9</f>
        <v>0</v>
      </c>
      <c r="N9" s="11">
        <f>'Cash Flows Cumulative'!N9-'Cash Flows Cumulative'!M9</f>
        <v>0</v>
      </c>
      <c r="O9" s="11">
        <f>'Cash Flows Cumulative'!O9-'Cash Flows Cumulative'!N9</f>
        <v>0</v>
      </c>
      <c r="P9" s="61">
        <f t="shared" ref="P9:P10" si="21">SUM(L9:O9)</f>
        <v>0</v>
      </c>
      <c r="Q9" s="11">
        <f>'Cash Flows Cumulative'!Q9</f>
        <v>0</v>
      </c>
      <c r="R9" s="11">
        <f>'Cash Flows Cumulative'!R9-'Cash Flows Cumulative'!Q9</f>
        <v>0</v>
      </c>
      <c r="S9" s="11">
        <f>'Cash Flows Cumulative'!S9-'Cash Flows Cumulative'!R9</f>
        <v>0</v>
      </c>
      <c r="T9" s="11">
        <f>'Cash Flows Cumulative'!T9-'Cash Flows Cumulative'!S9</f>
        <v>0</v>
      </c>
      <c r="U9" s="61">
        <f t="shared" ref="U9:U10" si="22">SUM(Q9:T9)</f>
        <v>0</v>
      </c>
      <c r="V9" s="11">
        <f>'Cash Flows Cumulative'!V9</f>
        <v>0</v>
      </c>
      <c r="W9" s="11">
        <f>'Cash Flows Cumulative'!W9-'Cash Flows Cumulative'!V9</f>
        <v>0</v>
      </c>
      <c r="X9" s="11">
        <f>'Cash Flows Cumulative'!X9-'Cash Flows Cumulative'!W9</f>
        <v>0</v>
      </c>
      <c r="Y9" s="11">
        <f>'Cash Flows Cumulative'!Y9-'Cash Flows Cumulative'!X9</f>
        <v>0</v>
      </c>
      <c r="Z9" s="61">
        <f t="shared" ref="Z9:Z10" si="23">SUM(V9:Y9)</f>
        <v>0</v>
      </c>
      <c r="AA9" s="11">
        <f>'Cash Flows Cumulative'!AA9</f>
        <v>0</v>
      </c>
      <c r="AB9" s="11">
        <f>'Cash Flows Cumulative'!AB9-'Cash Flows Cumulative'!AA9</f>
        <v>0</v>
      </c>
      <c r="AC9" s="11">
        <f>'Cash Flows Cumulative'!AC9-'Cash Flows Cumulative'!AB9</f>
        <v>0</v>
      </c>
      <c r="AD9" s="11">
        <f>'Cash Flows Cumulative'!AD9-'Cash Flows Cumulative'!AC9</f>
        <v>0</v>
      </c>
      <c r="AE9" s="61">
        <f t="shared" ref="AE9:AE10" si="24">SUM(AA9:AD9)</f>
        <v>0</v>
      </c>
      <c r="AF9" s="11">
        <f>'Cash Flows Cumulative'!AF9</f>
        <v>0</v>
      </c>
      <c r="AG9" s="11">
        <f>'Cash Flows Cumulative'!AG9-'Cash Flows Cumulative'!AF9</f>
        <v>0</v>
      </c>
      <c r="AH9" s="11">
        <f>'Cash Flows Cumulative'!AH9-'Cash Flows Cumulative'!AG9</f>
        <v>0</v>
      </c>
      <c r="AI9" s="11">
        <f>'Cash Flows Cumulative'!AI9-'Cash Flows Cumulative'!AH9</f>
        <v>0</v>
      </c>
      <c r="AJ9" s="61">
        <f t="shared" ref="AJ9:AJ10" si="25">SUM(AF9:AI9)</f>
        <v>0</v>
      </c>
      <c r="AK9" s="11">
        <f>'Cash Flows Cumulative'!AK9</f>
        <v>0</v>
      </c>
      <c r="AL9" s="11">
        <f>'Cash Flows Cumulative'!AL9-'Cash Flows Cumulative'!AK9</f>
        <v>0</v>
      </c>
      <c r="AM9" s="11">
        <f>'Cash Flows Cumulative'!AM9-'Cash Flows Cumulative'!AL9</f>
        <v>0</v>
      </c>
      <c r="AN9" s="11">
        <f>'Cash Flows Cumulative'!AN9-'Cash Flows Cumulative'!AM9</f>
        <v>0</v>
      </c>
      <c r="AO9" s="61">
        <f t="shared" ref="AO9:AO10" si="26">SUM(AK9:AN9)</f>
        <v>0</v>
      </c>
      <c r="AP9" s="11">
        <f>'Cash Flows Cumulative'!AP9</f>
        <v>0</v>
      </c>
      <c r="AQ9" s="11">
        <f>'Cash Flows Cumulative'!AQ9-'Cash Flows Cumulative'!AP9</f>
        <v>0</v>
      </c>
      <c r="AR9" s="11">
        <f>'Cash Flows Cumulative'!AR9-'Cash Flows Cumulative'!AQ9</f>
        <v>0</v>
      </c>
      <c r="AS9" s="11">
        <f>'Cash Flows Cumulative'!AS9-'Cash Flows Cumulative'!AR9</f>
        <v>0</v>
      </c>
      <c r="AT9" s="61">
        <f t="shared" ref="AT9:AT10" si="27">SUM(AP9:AS9)</f>
        <v>0</v>
      </c>
      <c r="AU9" s="11">
        <f>'Cash Flows Cumulative'!AU9</f>
        <v>0</v>
      </c>
      <c r="AV9" s="11">
        <f>'Cash Flows Cumulative'!AV9-'Cash Flows Cumulative'!AU9</f>
        <v>0</v>
      </c>
      <c r="AW9" s="11">
        <f>'Cash Flows Cumulative'!AW9-'Cash Flows Cumulative'!AV9</f>
        <v>0</v>
      </c>
      <c r="AX9" s="11">
        <f>'Cash Flows Cumulative'!AX9-'Cash Flows Cumulative'!AW9</f>
        <v>0</v>
      </c>
      <c r="AY9" s="61">
        <f t="shared" ref="AY9:AY10" si="28">SUM(AU9:AX9)</f>
        <v>0</v>
      </c>
      <c r="AZ9" s="11">
        <f>'Cash Flows Cumulative'!AZ9</f>
        <v>0</v>
      </c>
      <c r="BA9" s="11">
        <f>'Cash Flows Cumulative'!BA9-'Cash Flows Cumulative'!AZ9</f>
        <v>0</v>
      </c>
      <c r="BB9" s="11">
        <f>'Cash Flows Cumulative'!BB9-'Cash Flows Cumulative'!BA9</f>
        <v>0</v>
      </c>
      <c r="BC9" s="11">
        <f>'Cash Flows Cumulative'!BC9-'Cash Flows Cumulative'!BB9</f>
        <v>0</v>
      </c>
      <c r="BD9" s="61">
        <f t="shared" ref="BD9:BD10" si="29">SUM(AZ9:BC9)</f>
        <v>0</v>
      </c>
      <c r="BE9" s="11">
        <f>'Cash Flows Cumulative'!BE9</f>
        <v>0</v>
      </c>
      <c r="BF9" s="11">
        <f>'Cash Flows Cumulative'!BF9-'Cash Flows Cumulative'!BE9</f>
        <v>0</v>
      </c>
      <c r="BG9" s="11">
        <f>'Cash Flows Cumulative'!BG9-'Cash Flows Cumulative'!BF9</f>
        <v>0</v>
      </c>
      <c r="BH9" s="11">
        <f>'Cash Flows Cumulative'!BH9-'Cash Flows Cumulative'!BG9</f>
        <v>0</v>
      </c>
      <c r="BI9" s="61">
        <f t="shared" ref="BI9:BI10" si="30">SUM(BE9:BH9)</f>
        <v>0</v>
      </c>
      <c r="BJ9" s="11">
        <f>'Cash Flows Cumulative'!BJ9</f>
        <v>0</v>
      </c>
      <c r="BK9" s="11">
        <f>'Cash Flows Cumulative'!BK9-'Cash Flows Cumulative'!BJ9</f>
        <v>0</v>
      </c>
      <c r="BL9" s="11">
        <f>'Cash Flows Cumulative'!BL9-'Cash Flows Cumulative'!BK9</f>
        <v>0</v>
      </c>
      <c r="BM9" s="11">
        <f>'Cash Flows Cumulative'!BM9-'Cash Flows Cumulative'!BL9</f>
        <v>0</v>
      </c>
      <c r="BN9" s="61">
        <f t="shared" ref="BN9:BN10" si="31">SUM(BJ9:BM9)</f>
        <v>0</v>
      </c>
      <c r="BO9" s="11">
        <f>'Cash Flows Cumulative'!BO9</f>
        <v>0</v>
      </c>
      <c r="BP9" s="11">
        <f>'Cash Flows Cumulative'!BP9-'Cash Flows Cumulative'!BO9</f>
        <v>0</v>
      </c>
      <c r="BQ9" s="11">
        <f>'Cash Flows Cumulative'!BQ9-'Cash Flows Cumulative'!BP9</f>
        <v>0</v>
      </c>
      <c r="BR9" s="11">
        <f>'Cash Flows Cumulative'!BR9-'Cash Flows Cumulative'!BQ9</f>
        <v>37120</v>
      </c>
      <c r="BS9" s="61">
        <f t="shared" ref="BS9:BS10" si="32">SUM(BO9:BR9)</f>
        <v>37120</v>
      </c>
      <c r="BT9" s="11">
        <f>'Cash Flows Cumulative'!BT9</f>
        <v>0</v>
      </c>
      <c r="BU9" s="11">
        <f>'Cash Flows Cumulative'!BU9-'Cash Flows Cumulative'!BT9</f>
        <v>0</v>
      </c>
      <c r="BV9" s="11">
        <f>'Cash Flows Cumulative'!BV9-'Cash Flows Cumulative'!BU9</f>
        <v>44589</v>
      </c>
      <c r="BW9" s="11">
        <f>'Cash Flows Cumulative'!BW9-'Cash Flows Cumulative'!BV9</f>
        <v>0</v>
      </c>
      <c r="BX9" s="61">
        <f t="shared" si="14"/>
        <v>44589</v>
      </c>
      <c r="BY9" s="11">
        <f>'Cash Flows Cumulative'!BY9</f>
        <v>0</v>
      </c>
      <c r="BZ9" s="11">
        <f>'Cash Flows Cumulative'!BZ9-'Cash Flows Cumulative'!BY9</f>
        <v>0</v>
      </c>
      <c r="CA9" s="11">
        <f>'Cash Flows Cumulative'!CA9-'Cash Flows Cumulative'!BZ9</f>
        <v>0</v>
      </c>
      <c r="CB9" s="11">
        <f>'Cash Flows Cumulative'!CB9-'Cash Flows Cumulative'!CA9</f>
        <v>0</v>
      </c>
      <c r="CC9" s="61">
        <f t="shared" si="15"/>
        <v>0</v>
      </c>
      <c r="CD9" s="11">
        <f>'Cash Flows Cumulative'!CD9</f>
        <v>0</v>
      </c>
      <c r="CE9" s="103">
        <f>'Cash Flows Cumulative'!CE9-'Cash Flows Cumulative'!CD9</f>
        <v>0</v>
      </c>
      <c r="CF9" s="103">
        <f>'Cash Flows Cumulative'!CF9-'Cash Flows Cumulative'!CE9</f>
        <v>0</v>
      </c>
      <c r="CG9" s="103">
        <f>'Cash Flows Cumulative'!CG9-'Cash Flows Cumulative'!CF9</f>
        <v>0</v>
      </c>
      <c r="CH9" s="61">
        <f t="shared" si="16"/>
        <v>0</v>
      </c>
      <c r="CI9" s="11">
        <f>'Cash Flows Cumulative'!CI9</f>
        <v>0</v>
      </c>
      <c r="CJ9" s="11">
        <f>'Cash Flows Cumulative'!CJ9-'Cash Flows Cumulative'!CI9</f>
        <v>0</v>
      </c>
      <c r="CK9" s="11">
        <f>'Cash Flows Cumulative'!CK9-'Cash Flows Cumulative'!CJ9</f>
        <v>0</v>
      </c>
      <c r="CL9" s="11">
        <f>'Cash Flows Cumulative'!CL9-'Cash Flows Cumulative'!CK9</f>
        <v>0</v>
      </c>
      <c r="CM9" s="61">
        <f t="shared" si="17"/>
        <v>0</v>
      </c>
      <c r="CN9" s="11">
        <f>'Cash Flows Cumulative'!CN9</f>
        <v>0</v>
      </c>
      <c r="CO9" s="11">
        <f>'Cash Flows Cumulative'!CO9-'Cash Flows Cumulative'!CN9</f>
        <v>0</v>
      </c>
      <c r="CP9" s="11"/>
      <c r="CQ9" s="11"/>
      <c r="CR9" s="61">
        <f t="shared" si="18"/>
        <v>0</v>
      </c>
    </row>
    <row r="10" spans="1:96" ht="11.15" customHeight="1" x14ac:dyDescent="0.2">
      <c r="A10" s="21" t="s">
        <v>252</v>
      </c>
      <c r="B10" s="11">
        <f>'Cash Flows Cumulative'!B10</f>
        <v>0</v>
      </c>
      <c r="C10" s="11">
        <f>'Cash Flows Cumulative'!C10-'Cash Flows Cumulative'!B10</f>
        <v>0</v>
      </c>
      <c r="D10" s="11">
        <f>'Cash Flows Cumulative'!D10-'Cash Flows Cumulative'!C10</f>
        <v>0</v>
      </c>
      <c r="E10" s="11">
        <f>'Cash Flows Cumulative'!E10-'Cash Flows Cumulative'!D10</f>
        <v>0</v>
      </c>
      <c r="F10" s="61">
        <f t="shared" si="19"/>
        <v>0</v>
      </c>
      <c r="G10" s="11">
        <f>'Cash Flows Cumulative'!G10</f>
        <v>0</v>
      </c>
      <c r="H10" s="11">
        <f>'Cash Flows Cumulative'!H10-'Cash Flows Cumulative'!G10</f>
        <v>0</v>
      </c>
      <c r="I10" s="11">
        <f>'Cash Flows Cumulative'!I10-'Cash Flows Cumulative'!H10</f>
        <v>0</v>
      </c>
      <c r="J10" s="11">
        <f>'Cash Flows Cumulative'!J10-'Cash Flows Cumulative'!I10</f>
        <v>0</v>
      </c>
      <c r="K10" s="61">
        <f t="shared" si="20"/>
        <v>0</v>
      </c>
      <c r="L10" s="11">
        <f>'Cash Flows Cumulative'!L10</f>
        <v>0</v>
      </c>
      <c r="M10" s="11">
        <f>'Cash Flows Cumulative'!M10-'Cash Flows Cumulative'!L10</f>
        <v>0</v>
      </c>
      <c r="N10" s="11">
        <f>'Cash Flows Cumulative'!N10-'Cash Flows Cumulative'!M10</f>
        <v>0</v>
      </c>
      <c r="O10" s="11">
        <f>'Cash Flows Cumulative'!O10-'Cash Flows Cumulative'!N10</f>
        <v>0</v>
      </c>
      <c r="P10" s="61">
        <f t="shared" si="21"/>
        <v>0</v>
      </c>
      <c r="Q10" s="11">
        <f>'Cash Flows Cumulative'!Q10</f>
        <v>0</v>
      </c>
      <c r="R10" s="11">
        <f>'Cash Flows Cumulative'!R10-'Cash Flows Cumulative'!Q10</f>
        <v>0</v>
      </c>
      <c r="S10" s="11">
        <f>'Cash Flows Cumulative'!S10-'Cash Flows Cumulative'!R10</f>
        <v>0</v>
      </c>
      <c r="T10" s="11">
        <f>'Cash Flows Cumulative'!T10-'Cash Flows Cumulative'!S10</f>
        <v>0</v>
      </c>
      <c r="U10" s="61">
        <f t="shared" si="22"/>
        <v>0</v>
      </c>
      <c r="V10" s="11">
        <f>'Cash Flows Cumulative'!V10</f>
        <v>0</v>
      </c>
      <c r="W10" s="11">
        <f>'Cash Flows Cumulative'!W10-'Cash Flows Cumulative'!V10</f>
        <v>0</v>
      </c>
      <c r="X10" s="11">
        <f>'Cash Flows Cumulative'!X10-'Cash Flows Cumulative'!W10</f>
        <v>0</v>
      </c>
      <c r="Y10" s="11">
        <f>'Cash Flows Cumulative'!Y10-'Cash Flows Cumulative'!X10</f>
        <v>0</v>
      </c>
      <c r="Z10" s="61">
        <f t="shared" si="23"/>
        <v>0</v>
      </c>
      <c r="AA10" s="11">
        <f>'Cash Flows Cumulative'!AA10</f>
        <v>0</v>
      </c>
      <c r="AB10" s="11">
        <f>'Cash Flows Cumulative'!AB10-'Cash Flows Cumulative'!AA10</f>
        <v>0</v>
      </c>
      <c r="AC10" s="11">
        <f>'Cash Flows Cumulative'!AC10-'Cash Flows Cumulative'!AB10</f>
        <v>0</v>
      </c>
      <c r="AD10" s="11">
        <f>'Cash Flows Cumulative'!AD10-'Cash Flows Cumulative'!AC10</f>
        <v>0</v>
      </c>
      <c r="AE10" s="61">
        <f t="shared" si="24"/>
        <v>0</v>
      </c>
      <c r="AF10" s="11">
        <f>'Cash Flows Cumulative'!AF10</f>
        <v>0</v>
      </c>
      <c r="AG10" s="11">
        <f>'Cash Flows Cumulative'!AG10-'Cash Flows Cumulative'!AF10</f>
        <v>0</v>
      </c>
      <c r="AH10" s="11">
        <f>'Cash Flows Cumulative'!AH10-'Cash Flows Cumulative'!AG10</f>
        <v>0</v>
      </c>
      <c r="AI10" s="11">
        <f>'Cash Flows Cumulative'!AI10-'Cash Flows Cumulative'!AH10</f>
        <v>0</v>
      </c>
      <c r="AJ10" s="61">
        <f t="shared" si="25"/>
        <v>0</v>
      </c>
      <c r="AK10" s="11">
        <f>'Cash Flows Cumulative'!AK10</f>
        <v>0</v>
      </c>
      <c r="AL10" s="11">
        <f>'Cash Flows Cumulative'!AL10-'Cash Flows Cumulative'!AK10</f>
        <v>0</v>
      </c>
      <c r="AM10" s="11">
        <f>'Cash Flows Cumulative'!AM10-'Cash Flows Cumulative'!AL10</f>
        <v>0</v>
      </c>
      <c r="AN10" s="11">
        <f>'Cash Flows Cumulative'!AN10-'Cash Flows Cumulative'!AM10</f>
        <v>0</v>
      </c>
      <c r="AO10" s="61">
        <f t="shared" si="26"/>
        <v>0</v>
      </c>
      <c r="AP10" s="11">
        <f>'Cash Flows Cumulative'!AP10</f>
        <v>0</v>
      </c>
      <c r="AQ10" s="11">
        <f>'Cash Flows Cumulative'!AQ10-'Cash Flows Cumulative'!AP10</f>
        <v>0</v>
      </c>
      <c r="AR10" s="11">
        <f>'Cash Flows Cumulative'!AR10-'Cash Flows Cumulative'!AQ10</f>
        <v>0</v>
      </c>
      <c r="AS10" s="11">
        <f>'Cash Flows Cumulative'!AS10-'Cash Flows Cumulative'!AR10</f>
        <v>0</v>
      </c>
      <c r="AT10" s="61">
        <f t="shared" si="27"/>
        <v>0</v>
      </c>
      <c r="AU10" s="11">
        <f>'Cash Flows Cumulative'!AU10</f>
        <v>0</v>
      </c>
      <c r="AV10" s="11">
        <f>'Cash Flows Cumulative'!AV10-'Cash Flows Cumulative'!AU10</f>
        <v>0</v>
      </c>
      <c r="AW10" s="11">
        <f>'Cash Flows Cumulative'!AW10-'Cash Flows Cumulative'!AV10</f>
        <v>0</v>
      </c>
      <c r="AX10" s="11">
        <f>'Cash Flows Cumulative'!AX10-'Cash Flows Cumulative'!AW10</f>
        <v>0</v>
      </c>
      <c r="AY10" s="61">
        <f t="shared" si="28"/>
        <v>0</v>
      </c>
      <c r="AZ10" s="11">
        <f>'Cash Flows Cumulative'!AZ10</f>
        <v>0</v>
      </c>
      <c r="BA10" s="11">
        <f>'Cash Flows Cumulative'!BA10-'Cash Flows Cumulative'!AZ10</f>
        <v>0</v>
      </c>
      <c r="BB10" s="11">
        <f>'Cash Flows Cumulative'!BB10-'Cash Flows Cumulative'!BA10</f>
        <v>0</v>
      </c>
      <c r="BC10" s="11">
        <f>'Cash Flows Cumulative'!BC10-'Cash Flows Cumulative'!BB10</f>
        <v>0</v>
      </c>
      <c r="BD10" s="61">
        <f t="shared" si="29"/>
        <v>0</v>
      </c>
      <c r="BE10" s="11">
        <f>'Cash Flows Cumulative'!BE10</f>
        <v>0</v>
      </c>
      <c r="BF10" s="11">
        <f>'Cash Flows Cumulative'!BF10-'Cash Flows Cumulative'!BE10</f>
        <v>0</v>
      </c>
      <c r="BG10" s="11">
        <f>'Cash Flows Cumulative'!BG10-'Cash Flows Cumulative'!BF10</f>
        <v>0</v>
      </c>
      <c r="BH10" s="11">
        <f>'Cash Flows Cumulative'!BH10-'Cash Flows Cumulative'!BG10</f>
        <v>0</v>
      </c>
      <c r="BI10" s="61">
        <f t="shared" si="30"/>
        <v>0</v>
      </c>
      <c r="BJ10" s="11">
        <f>'Cash Flows Cumulative'!BJ10</f>
        <v>0</v>
      </c>
      <c r="BK10" s="11">
        <f>'Cash Flows Cumulative'!BK10-'Cash Flows Cumulative'!BJ10</f>
        <v>0</v>
      </c>
      <c r="BL10" s="11">
        <f>'Cash Flows Cumulative'!BL10-'Cash Flows Cumulative'!BK10</f>
        <v>0</v>
      </c>
      <c r="BM10" s="11">
        <f>'Cash Flows Cumulative'!BM10-'Cash Flows Cumulative'!BL10</f>
        <v>0</v>
      </c>
      <c r="BN10" s="61">
        <f t="shared" si="31"/>
        <v>0</v>
      </c>
      <c r="BO10" s="11">
        <f>'Cash Flows Cumulative'!BO10</f>
        <v>0</v>
      </c>
      <c r="BP10" s="11">
        <f>'Cash Flows Cumulative'!BP10-'Cash Flows Cumulative'!BO10</f>
        <v>0</v>
      </c>
      <c r="BQ10" s="11">
        <f>'Cash Flows Cumulative'!BQ10-'Cash Flows Cumulative'!BP10</f>
        <v>0</v>
      </c>
      <c r="BR10" s="11">
        <f>'Cash Flows Cumulative'!BR10-'Cash Flows Cumulative'!BQ10</f>
        <v>5350</v>
      </c>
      <c r="BS10" s="61">
        <f t="shared" si="32"/>
        <v>5350</v>
      </c>
      <c r="BT10" s="11">
        <f>'Cash Flows Cumulative'!BT10</f>
        <v>0</v>
      </c>
      <c r="BU10" s="11">
        <f>'Cash Flows Cumulative'!BU10-'Cash Flows Cumulative'!BT10</f>
        <v>671</v>
      </c>
      <c r="BV10" s="11">
        <f>'Cash Flows Cumulative'!BV10-'Cash Flows Cumulative'!BU10</f>
        <v>0</v>
      </c>
      <c r="BW10" s="11">
        <f>'Cash Flows Cumulative'!BW10-'Cash Flows Cumulative'!BV10</f>
        <v>0</v>
      </c>
      <c r="BX10" s="61">
        <f t="shared" si="14"/>
        <v>671</v>
      </c>
      <c r="BY10" s="11">
        <f>'Cash Flows Cumulative'!BY10</f>
        <v>0</v>
      </c>
      <c r="BZ10" s="11">
        <f>'Cash Flows Cumulative'!BZ10-'Cash Flows Cumulative'!BY10</f>
        <v>0</v>
      </c>
      <c r="CA10" s="11">
        <f>'Cash Flows Cumulative'!CA10-'Cash Flows Cumulative'!BZ10</f>
        <v>0</v>
      </c>
      <c r="CB10" s="11">
        <f>'Cash Flows Cumulative'!CB10-'Cash Flows Cumulative'!CA10</f>
        <v>0</v>
      </c>
      <c r="CC10" s="61">
        <f t="shared" si="15"/>
        <v>0</v>
      </c>
      <c r="CD10" s="11">
        <f>'Cash Flows Cumulative'!CD10</f>
        <v>0</v>
      </c>
      <c r="CE10" s="103">
        <f>'Cash Flows Cumulative'!CE10-'Cash Flows Cumulative'!CD10</f>
        <v>0</v>
      </c>
      <c r="CF10" s="103">
        <f>'Cash Flows Cumulative'!CF10-'Cash Flows Cumulative'!CE10</f>
        <v>919</v>
      </c>
      <c r="CG10" s="103">
        <f>'Cash Flows Cumulative'!CG10-'Cash Flows Cumulative'!CF10</f>
        <v>79030</v>
      </c>
      <c r="CH10" s="61">
        <f t="shared" si="16"/>
        <v>79949</v>
      </c>
      <c r="CI10" s="11">
        <f>'Cash Flows Cumulative'!CI10</f>
        <v>0</v>
      </c>
      <c r="CJ10" s="11">
        <f>'Cash Flows Cumulative'!CJ10-'Cash Flows Cumulative'!CI10</f>
        <v>0</v>
      </c>
      <c r="CK10" s="11">
        <f>'Cash Flows Cumulative'!CK10-'Cash Flows Cumulative'!CJ10</f>
        <v>-486</v>
      </c>
      <c r="CL10" s="11">
        <f>'Cash Flows Cumulative'!CL10-'Cash Flows Cumulative'!CK10</f>
        <v>0</v>
      </c>
      <c r="CM10" s="61">
        <f t="shared" si="17"/>
        <v>-486</v>
      </c>
      <c r="CN10" s="11">
        <f>'Cash Flows Cumulative'!CN10</f>
        <v>0</v>
      </c>
      <c r="CO10" s="11">
        <f>'Cash Flows Cumulative'!CO10-'Cash Flows Cumulative'!CN10</f>
        <v>0</v>
      </c>
      <c r="CP10" s="11"/>
      <c r="CQ10" s="11"/>
      <c r="CR10" s="61">
        <f t="shared" si="18"/>
        <v>0</v>
      </c>
    </row>
    <row r="11" spans="1:96" ht="11.15" customHeight="1" x14ac:dyDescent="0.2">
      <c r="A11" s="21" t="s">
        <v>81</v>
      </c>
      <c r="B11" s="11">
        <f>'Cash Flows Cumulative'!B11</f>
        <v>1990</v>
      </c>
      <c r="C11" s="11">
        <f>'Cash Flows Cumulative'!C11-'Cash Flows Cumulative'!B11</f>
        <v>1073</v>
      </c>
      <c r="D11" s="11">
        <f>'Cash Flows Cumulative'!D11-'Cash Flows Cumulative'!C11</f>
        <v>-2987</v>
      </c>
      <c r="E11" s="11">
        <f>'Cash Flows Cumulative'!E11-'Cash Flows Cumulative'!D11</f>
        <v>-10235</v>
      </c>
      <c r="F11" s="61">
        <f t="shared" si="0"/>
        <v>-10159</v>
      </c>
      <c r="G11" s="11">
        <f>'Cash Flows Cumulative'!G11</f>
        <v>691</v>
      </c>
      <c r="H11" s="11">
        <f>'Cash Flows Cumulative'!H11-'Cash Flows Cumulative'!G11</f>
        <v>-311</v>
      </c>
      <c r="I11" s="11">
        <f>'Cash Flows Cumulative'!I11-'Cash Flows Cumulative'!H11</f>
        <v>3590</v>
      </c>
      <c r="J11" s="11">
        <f>'Cash Flows Cumulative'!J11-'Cash Flows Cumulative'!I11</f>
        <v>4146</v>
      </c>
      <c r="K11" s="61">
        <f t="shared" si="1"/>
        <v>8116</v>
      </c>
      <c r="L11" s="11">
        <f>'Cash Flows Cumulative'!L11</f>
        <v>-2032</v>
      </c>
      <c r="M11" s="11">
        <f>'Cash Flows Cumulative'!M11-'Cash Flows Cumulative'!L11</f>
        <v>-902</v>
      </c>
      <c r="N11" s="11">
        <f>'Cash Flows Cumulative'!N11-'Cash Flows Cumulative'!M11</f>
        <v>1305</v>
      </c>
      <c r="O11" s="11">
        <f>'Cash Flows Cumulative'!O11-'Cash Flows Cumulative'!N11</f>
        <v>4074</v>
      </c>
      <c r="P11" s="61">
        <f t="shared" si="2"/>
        <v>2445</v>
      </c>
      <c r="Q11" s="11">
        <f>'Cash Flows Cumulative'!Q11</f>
        <v>-4174</v>
      </c>
      <c r="R11" s="11">
        <f>'Cash Flows Cumulative'!R11-'Cash Flows Cumulative'!Q11</f>
        <v>-1525</v>
      </c>
      <c r="S11" s="11">
        <f>'Cash Flows Cumulative'!S11-'Cash Flows Cumulative'!R11</f>
        <v>-2420</v>
      </c>
      <c r="T11" s="11">
        <f>'Cash Flows Cumulative'!T11-'Cash Flows Cumulative'!S11</f>
        <v>4032</v>
      </c>
      <c r="U11" s="61">
        <f t="shared" si="3"/>
        <v>-4087</v>
      </c>
      <c r="V11" s="11">
        <f>'Cash Flows Cumulative'!V11</f>
        <v>-2409</v>
      </c>
      <c r="W11" s="11">
        <f>'Cash Flows Cumulative'!W11-'Cash Flows Cumulative'!V11</f>
        <v>-357</v>
      </c>
      <c r="X11" s="11">
        <f>'Cash Flows Cumulative'!X11-'Cash Flows Cumulative'!W11</f>
        <v>693</v>
      </c>
      <c r="Y11" s="11">
        <f>'Cash Flows Cumulative'!Y11-'Cash Flows Cumulative'!X11</f>
        <v>2474</v>
      </c>
      <c r="Z11" s="61">
        <f t="shared" si="4"/>
        <v>401</v>
      </c>
      <c r="AA11" s="11">
        <f>'Cash Flows Cumulative'!AA11</f>
        <v>5201</v>
      </c>
      <c r="AB11" s="11">
        <f>'Cash Flows Cumulative'!AB11-'Cash Flows Cumulative'!AA11</f>
        <v>1423</v>
      </c>
      <c r="AC11" s="11">
        <f>'Cash Flows Cumulative'!AC11-'Cash Flows Cumulative'!AB11</f>
        <v>-6060</v>
      </c>
      <c r="AD11" s="11">
        <f>'Cash Flows Cumulative'!AD11-'Cash Flows Cumulative'!AC11</f>
        <v>-852</v>
      </c>
      <c r="AE11" s="61">
        <f t="shared" si="5"/>
        <v>-288</v>
      </c>
      <c r="AF11" s="11">
        <f>'Cash Flows Cumulative'!AF11</f>
        <v>2854</v>
      </c>
      <c r="AG11" s="11">
        <f>'Cash Flows Cumulative'!AG11-'Cash Flows Cumulative'!AF11</f>
        <v>-2465</v>
      </c>
      <c r="AH11" s="11">
        <f>'Cash Flows Cumulative'!AH11-'Cash Flows Cumulative'!AG11</f>
        <v>2316</v>
      </c>
      <c r="AI11" s="11">
        <f>'Cash Flows Cumulative'!AI11-'Cash Flows Cumulative'!AH11</f>
        <v>2841</v>
      </c>
      <c r="AJ11" s="61">
        <f t="shared" si="6"/>
        <v>5546</v>
      </c>
      <c r="AK11" s="11">
        <f>'Cash Flows Cumulative'!AK11</f>
        <v>4324</v>
      </c>
      <c r="AL11" s="11">
        <f>'Cash Flows Cumulative'!AL11-'Cash Flows Cumulative'!AK11</f>
        <v>-7709</v>
      </c>
      <c r="AM11" s="11">
        <f>'Cash Flows Cumulative'!AM11-'Cash Flows Cumulative'!AL11</f>
        <v>-4206</v>
      </c>
      <c r="AN11" s="11">
        <f>'Cash Flows Cumulative'!AN11-'Cash Flows Cumulative'!AM11</f>
        <v>1423</v>
      </c>
      <c r="AO11" s="61">
        <f t="shared" si="7"/>
        <v>-6168</v>
      </c>
      <c r="AP11" s="11">
        <f>'Cash Flows Cumulative'!AP11</f>
        <v>-2610</v>
      </c>
      <c r="AQ11" s="11">
        <f>'Cash Flows Cumulative'!AQ11-'Cash Flows Cumulative'!AP11</f>
        <v>-2283</v>
      </c>
      <c r="AR11" s="11">
        <f>'Cash Flows Cumulative'!AR11-'Cash Flows Cumulative'!AQ11</f>
        <v>-1061</v>
      </c>
      <c r="AS11" s="11">
        <f>'Cash Flows Cumulative'!AS11-'Cash Flows Cumulative'!AR11</f>
        <v>4468</v>
      </c>
      <c r="AT11" s="61">
        <f t="shared" si="8"/>
        <v>-1486</v>
      </c>
      <c r="AU11" s="11">
        <f>'Cash Flows Cumulative'!AU11</f>
        <v>5708</v>
      </c>
      <c r="AV11" s="11">
        <f>'Cash Flows Cumulative'!AV11-'Cash Flows Cumulative'!AU11</f>
        <v>-7826</v>
      </c>
      <c r="AW11" s="11">
        <f>'Cash Flows Cumulative'!AW11-'Cash Flows Cumulative'!AV11</f>
        <v>-5026</v>
      </c>
      <c r="AX11" s="11">
        <f>'Cash Flows Cumulative'!AX11-'Cash Flows Cumulative'!AW11</f>
        <v>-9</v>
      </c>
      <c r="AY11" s="61">
        <f t="shared" si="9"/>
        <v>-7153</v>
      </c>
      <c r="AZ11" s="11">
        <f>'Cash Flows Cumulative'!AZ11</f>
        <v>-2741</v>
      </c>
      <c r="BA11" s="11">
        <f>'Cash Flows Cumulative'!BA11-'Cash Flows Cumulative'!AZ11</f>
        <v>-6527</v>
      </c>
      <c r="BB11" s="11">
        <f>'Cash Flows Cumulative'!BB11-'Cash Flows Cumulative'!BA11</f>
        <v>-2786</v>
      </c>
      <c r="BC11" s="11">
        <f>'Cash Flows Cumulative'!BC11-'Cash Flows Cumulative'!BB11</f>
        <v>-854</v>
      </c>
      <c r="BD11" s="61">
        <f t="shared" si="10"/>
        <v>-12908</v>
      </c>
      <c r="BE11" s="11">
        <f>'Cash Flows Cumulative'!BE11</f>
        <v>4208</v>
      </c>
      <c r="BF11" s="11">
        <f>'Cash Flows Cumulative'!BF11-'Cash Flows Cumulative'!BE11</f>
        <v>325</v>
      </c>
      <c r="BG11" s="11">
        <f>'Cash Flows Cumulative'!BG11-'Cash Flows Cumulative'!BF11</f>
        <v>10001</v>
      </c>
      <c r="BH11" s="11">
        <f>'Cash Flows Cumulative'!BH11-'Cash Flows Cumulative'!BG11</f>
        <v>8347</v>
      </c>
      <c r="BI11" s="61">
        <f t="shared" si="11"/>
        <v>22881</v>
      </c>
      <c r="BJ11" s="11">
        <f>'Cash Flows Cumulative'!BJ11</f>
        <v>7401</v>
      </c>
      <c r="BK11" s="11">
        <f>'Cash Flows Cumulative'!BK11-'Cash Flows Cumulative'!BJ11</f>
        <v>-1304</v>
      </c>
      <c r="BL11" s="11">
        <f>'Cash Flows Cumulative'!BL11-'Cash Flows Cumulative'!BK11</f>
        <v>-3143</v>
      </c>
      <c r="BM11" s="11">
        <f>'Cash Flows Cumulative'!BM11-'Cash Flows Cumulative'!BL11</f>
        <v>-7530</v>
      </c>
      <c r="BN11" s="61">
        <f t="shared" si="12"/>
        <v>-4576</v>
      </c>
      <c r="BO11" s="11">
        <f>'Cash Flows Cumulative'!BO11</f>
        <v>9199</v>
      </c>
      <c r="BP11" s="11">
        <f>'Cash Flows Cumulative'!BP11-'Cash Flows Cumulative'!BO11</f>
        <v>-6571</v>
      </c>
      <c r="BQ11" s="11">
        <f>'Cash Flows Cumulative'!BQ11-'Cash Flows Cumulative'!BP11</f>
        <v>-6842</v>
      </c>
      <c r="BR11" s="11">
        <f>'Cash Flows Cumulative'!BR11-'Cash Flows Cumulative'!BQ11</f>
        <v>-11275</v>
      </c>
      <c r="BS11" s="61">
        <f t="shared" si="13"/>
        <v>-15489</v>
      </c>
      <c r="BT11" s="11">
        <f>'Cash Flows Cumulative'!BT11</f>
        <v>-935</v>
      </c>
      <c r="BU11" s="11">
        <f>'Cash Flows Cumulative'!BU11-'Cash Flows Cumulative'!BT11</f>
        <v>2526</v>
      </c>
      <c r="BV11" s="11">
        <f>'Cash Flows Cumulative'!BV11-'Cash Flows Cumulative'!BU11</f>
        <v>-11713</v>
      </c>
      <c r="BW11" s="11">
        <f>'Cash Flows Cumulative'!BW11-'Cash Flows Cumulative'!BV11</f>
        <v>-2691</v>
      </c>
      <c r="BX11" s="61">
        <f t="shared" si="14"/>
        <v>-12813</v>
      </c>
      <c r="BY11" s="11">
        <f>'Cash Flows Cumulative'!BY11</f>
        <v>3944</v>
      </c>
      <c r="BZ11" s="11">
        <f>'Cash Flows Cumulative'!BZ11-'Cash Flows Cumulative'!BY11</f>
        <v>-5800</v>
      </c>
      <c r="CA11" s="11">
        <f>'Cash Flows Cumulative'!CA11-'Cash Flows Cumulative'!BZ11</f>
        <v>-2901</v>
      </c>
      <c r="CB11" s="11">
        <f>'Cash Flows Cumulative'!CB11-'Cash Flows Cumulative'!CA11</f>
        <v>-2128</v>
      </c>
      <c r="CC11" s="61">
        <f t="shared" si="15"/>
        <v>-6885</v>
      </c>
      <c r="CD11" s="11">
        <f>'Cash Flows Cumulative'!CD11</f>
        <v>-3397</v>
      </c>
      <c r="CE11" s="103">
        <f>'Cash Flows Cumulative'!CE11-'Cash Flows Cumulative'!CD11</f>
        <v>-7807</v>
      </c>
      <c r="CF11" s="103">
        <f>'Cash Flows Cumulative'!CF11-'Cash Flows Cumulative'!CE11</f>
        <v>-10346</v>
      </c>
      <c r="CG11" s="103">
        <f>'Cash Flows Cumulative'!CG11-'Cash Flows Cumulative'!CF11</f>
        <v>-6025</v>
      </c>
      <c r="CH11" s="61">
        <f t="shared" si="16"/>
        <v>-27575</v>
      </c>
      <c r="CI11" s="11">
        <f>'Cash Flows Cumulative'!CI11</f>
        <v>16106</v>
      </c>
      <c r="CJ11" s="11">
        <f>'Cash Flows Cumulative'!CJ11-'Cash Flows Cumulative'!CI11</f>
        <v>-11041</v>
      </c>
      <c r="CK11" s="11">
        <f>'Cash Flows Cumulative'!CK11-'Cash Flows Cumulative'!CJ11</f>
        <v>-9900</v>
      </c>
      <c r="CL11" s="11">
        <f>'Cash Flows Cumulative'!CL11-'Cash Flows Cumulative'!CK11</f>
        <v>-8954</v>
      </c>
      <c r="CM11" s="61">
        <f t="shared" si="17"/>
        <v>-13789</v>
      </c>
      <c r="CN11" s="11">
        <f>'Cash Flows Cumulative'!CN11</f>
        <v>4044</v>
      </c>
      <c r="CO11" s="11">
        <f>'Cash Flows Cumulative'!CO11-'Cash Flows Cumulative'!CN11</f>
        <v>-3324</v>
      </c>
      <c r="CP11" s="11"/>
      <c r="CQ11" s="11"/>
      <c r="CR11" s="61">
        <f t="shared" si="18"/>
        <v>720</v>
      </c>
    </row>
    <row r="12" spans="1:96" ht="11.15" customHeight="1" x14ac:dyDescent="0.2">
      <c r="A12" s="21" t="s">
        <v>82</v>
      </c>
      <c r="B12" s="11">
        <f>'Cash Flows Cumulative'!B12</f>
        <v>0</v>
      </c>
      <c r="C12" s="11">
        <f>'Cash Flows Cumulative'!C12-'Cash Flows Cumulative'!B12</f>
        <v>126</v>
      </c>
      <c r="D12" s="11">
        <f>'Cash Flows Cumulative'!D12-'Cash Flows Cumulative'!C12</f>
        <v>191</v>
      </c>
      <c r="E12" s="11">
        <f>'Cash Flows Cumulative'!E12-'Cash Flows Cumulative'!D12</f>
        <v>216</v>
      </c>
      <c r="F12" s="61">
        <f t="shared" si="0"/>
        <v>533</v>
      </c>
      <c r="G12" s="11">
        <f>'Cash Flows Cumulative'!G12</f>
        <v>219</v>
      </c>
      <c r="H12" s="11">
        <f>'Cash Flows Cumulative'!H12-'Cash Flows Cumulative'!G12</f>
        <v>290</v>
      </c>
      <c r="I12" s="11">
        <f>'Cash Flows Cumulative'!I12-'Cash Flows Cumulative'!H12</f>
        <v>396</v>
      </c>
      <c r="J12" s="11">
        <f>'Cash Flows Cumulative'!J12-'Cash Flows Cumulative'!I12</f>
        <v>419</v>
      </c>
      <c r="K12" s="61">
        <f t="shared" si="1"/>
        <v>1324</v>
      </c>
      <c r="L12" s="11">
        <f>'Cash Flows Cumulative'!L12</f>
        <v>387</v>
      </c>
      <c r="M12" s="11">
        <f>'Cash Flows Cumulative'!M12-'Cash Flows Cumulative'!L12</f>
        <v>617</v>
      </c>
      <c r="N12" s="11">
        <f>'Cash Flows Cumulative'!N12-'Cash Flows Cumulative'!M12</f>
        <v>495</v>
      </c>
      <c r="O12" s="11">
        <f>'Cash Flows Cumulative'!O12-'Cash Flows Cumulative'!N12</f>
        <v>575</v>
      </c>
      <c r="P12" s="61">
        <f t="shared" si="2"/>
        <v>2074</v>
      </c>
      <c r="Q12" s="11">
        <f>'Cash Flows Cumulative'!Q12</f>
        <v>635</v>
      </c>
      <c r="R12" s="11">
        <f>'Cash Flows Cumulative'!R12-'Cash Flows Cumulative'!Q12</f>
        <v>570</v>
      </c>
      <c r="S12" s="11">
        <f>'Cash Flows Cumulative'!S12-'Cash Flows Cumulative'!R12</f>
        <v>787</v>
      </c>
      <c r="T12" s="11">
        <f>'Cash Flows Cumulative'!T12-'Cash Flows Cumulative'!S12</f>
        <v>775</v>
      </c>
      <c r="U12" s="61">
        <f t="shared" si="3"/>
        <v>2767</v>
      </c>
      <c r="V12" s="11">
        <f>'Cash Flows Cumulative'!V12</f>
        <v>770</v>
      </c>
      <c r="W12" s="11">
        <f>'Cash Flows Cumulative'!W12-'Cash Flows Cumulative'!V12</f>
        <v>793</v>
      </c>
      <c r="X12" s="11">
        <f>'Cash Flows Cumulative'!X12-'Cash Flows Cumulative'!W12</f>
        <v>915</v>
      </c>
      <c r="Y12" s="11">
        <f>'Cash Flows Cumulative'!Y12-'Cash Flows Cumulative'!X12</f>
        <v>718</v>
      </c>
      <c r="Z12" s="61">
        <f t="shared" si="4"/>
        <v>3196</v>
      </c>
      <c r="AA12" s="11">
        <f>'Cash Flows Cumulative'!AA12</f>
        <v>2607</v>
      </c>
      <c r="AB12" s="11">
        <f>'Cash Flows Cumulative'!AB12-'Cash Flows Cumulative'!AA12</f>
        <v>1694</v>
      </c>
      <c r="AC12" s="11">
        <f>'Cash Flows Cumulative'!AC12-'Cash Flows Cumulative'!AB12</f>
        <v>1879</v>
      </c>
      <c r="AD12" s="11">
        <f>'Cash Flows Cumulative'!AD12-'Cash Flows Cumulative'!AC12</f>
        <v>1868</v>
      </c>
      <c r="AE12" s="61">
        <f t="shared" si="5"/>
        <v>8048</v>
      </c>
      <c r="AF12" s="11">
        <f>'Cash Flows Cumulative'!AF12</f>
        <v>1998</v>
      </c>
      <c r="AG12" s="11">
        <f>'Cash Flows Cumulative'!AG12-'Cash Flows Cumulative'!AF12</f>
        <v>2201</v>
      </c>
      <c r="AH12" s="11">
        <f>'Cash Flows Cumulative'!AH12-'Cash Flows Cumulative'!AG12</f>
        <v>2159</v>
      </c>
      <c r="AI12" s="11">
        <f>'Cash Flows Cumulative'!AI12-'Cash Flows Cumulative'!AH12</f>
        <v>2207</v>
      </c>
      <c r="AJ12" s="61">
        <f t="shared" si="6"/>
        <v>8565</v>
      </c>
      <c r="AK12" s="11">
        <f>'Cash Flows Cumulative'!AK12</f>
        <v>2532</v>
      </c>
      <c r="AL12" s="11">
        <f>'Cash Flows Cumulative'!AL12-'Cash Flows Cumulative'!AK12</f>
        <v>2940</v>
      </c>
      <c r="AM12" s="11">
        <f>'Cash Flows Cumulative'!AM12-'Cash Flows Cumulative'!AL12</f>
        <v>3132</v>
      </c>
      <c r="AN12" s="11">
        <f>'Cash Flows Cumulative'!AN12-'Cash Flows Cumulative'!AM12</f>
        <v>3116</v>
      </c>
      <c r="AO12" s="61">
        <f t="shared" si="7"/>
        <v>11720</v>
      </c>
      <c r="AP12" s="11">
        <f>'Cash Flows Cumulative'!AP12</f>
        <v>3267</v>
      </c>
      <c r="AQ12" s="11">
        <f>'Cash Flows Cumulative'!AQ12-'Cash Flows Cumulative'!AP12</f>
        <v>3905</v>
      </c>
      <c r="AR12" s="11">
        <f>'Cash Flows Cumulative'!AR12-'Cash Flows Cumulative'!AQ12</f>
        <v>3895</v>
      </c>
      <c r="AS12" s="11">
        <f>'Cash Flows Cumulative'!AS12-'Cash Flows Cumulative'!AR12</f>
        <v>4105</v>
      </c>
      <c r="AT12" s="61">
        <f t="shared" si="8"/>
        <v>15172</v>
      </c>
      <c r="AU12" s="11">
        <f>'Cash Flows Cumulative'!AU12</f>
        <v>4127</v>
      </c>
      <c r="AV12" s="11">
        <f>'Cash Flows Cumulative'!AV12-'Cash Flows Cumulative'!AU12</f>
        <v>4735</v>
      </c>
      <c r="AW12" s="11">
        <f>'Cash Flows Cumulative'!AW12-'Cash Flows Cumulative'!AV12</f>
        <v>5013</v>
      </c>
      <c r="AX12" s="11">
        <f>'Cash Flows Cumulative'!AX12-'Cash Flows Cumulative'!AW12</f>
        <v>5114</v>
      </c>
      <c r="AY12" s="61">
        <f t="shared" si="9"/>
        <v>18989</v>
      </c>
      <c r="AZ12" s="11">
        <f>'Cash Flows Cumulative'!AZ12</f>
        <v>4959</v>
      </c>
      <c r="BA12" s="11">
        <f>'Cash Flows Cumulative'!BA12-'Cash Flows Cumulative'!AZ12</f>
        <v>5477</v>
      </c>
      <c r="BB12" s="11">
        <f>'Cash Flows Cumulative'!BB12-'Cash Flows Cumulative'!BA12</f>
        <v>5663</v>
      </c>
      <c r="BC12" s="11">
        <f>'Cash Flows Cumulative'!BC12-'Cash Flows Cumulative'!BB12</f>
        <v>5635</v>
      </c>
      <c r="BD12" s="61">
        <f t="shared" si="10"/>
        <v>21734</v>
      </c>
      <c r="BE12" s="11">
        <f>'Cash Flows Cumulative'!BE12</f>
        <v>5351</v>
      </c>
      <c r="BF12" s="11">
        <f>'Cash Flows Cumulative'!BF12-'Cash Flows Cumulative'!BE12</f>
        <v>5708</v>
      </c>
      <c r="BG12" s="11">
        <f>'Cash Flows Cumulative'!BG12-'Cash Flows Cumulative'!BF12</f>
        <v>5930</v>
      </c>
      <c r="BH12" s="11">
        <f>'Cash Flows Cumulative'!BH12-'Cash Flows Cumulative'!BG12</f>
        <v>6032</v>
      </c>
      <c r="BI12" s="61">
        <f t="shared" si="11"/>
        <v>23021</v>
      </c>
      <c r="BJ12" s="11">
        <f>'Cash Flows Cumulative'!BJ12</f>
        <v>6415</v>
      </c>
      <c r="BK12" s="11">
        <f>'Cash Flows Cumulative'!BK12-'Cash Flows Cumulative'!BJ12</f>
        <v>7309</v>
      </c>
      <c r="BL12" s="11">
        <f>'Cash Flows Cumulative'!BL12-'Cash Flows Cumulative'!BK12</f>
        <v>7719</v>
      </c>
      <c r="BM12" s="11">
        <f>'Cash Flows Cumulative'!BM12-'Cash Flows Cumulative'!BL12</f>
        <v>6584</v>
      </c>
      <c r="BN12" s="61">
        <f t="shared" si="12"/>
        <v>28027</v>
      </c>
      <c r="BO12" s="11">
        <f>'Cash Flows Cumulative'!BO12</f>
        <v>8138</v>
      </c>
      <c r="BP12" s="11">
        <f>'Cash Flows Cumulative'!BP12-'Cash Flows Cumulative'!BO12</f>
        <v>8893</v>
      </c>
      <c r="BQ12" s="11">
        <f>'Cash Flows Cumulative'!BQ12-'Cash Flows Cumulative'!BP12</f>
        <v>8540</v>
      </c>
      <c r="BR12" s="11">
        <f>'Cash Flows Cumulative'!BR12-'Cash Flows Cumulative'!BQ12</f>
        <v>7792</v>
      </c>
      <c r="BS12" s="61">
        <f t="shared" si="13"/>
        <v>33363</v>
      </c>
      <c r="BT12" s="11">
        <f>'Cash Flows Cumulative'!BT12</f>
        <v>8430</v>
      </c>
      <c r="BU12" s="11">
        <f>'Cash Flows Cumulative'!BU12-'Cash Flows Cumulative'!BT12</f>
        <v>9223</v>
      </c>
      <c r="BV12" s="11">
        <f>'Cash Flows Cumulative'!BV12-'Cash Flows Cumulative'!BU12</f>
        <v>8741</v>
      </c>
      <c r="BW12" s="11">
        <f>'Cash Flows Cumulative'!BW12-'Cash Flows Cumulative'!BV12</f>
        <v>9078</v>
      </c>
      <c r="BX12" s="61">
        <f t="shared" si="14"/>
        <v>35472</v>
      </c>
      <c r="BY12" s="11">
        <f>'Cash Flows Cumulative'!BY12</f>
        <v>8815</v>
      </c>
      <c r="BZ12" s="11">
        <f>'Cash Flows Cumulative'!BZ12-'Cash Flows Cumulative'!BY12</f>
        <v>9863</v>
      </c>
      <c r="CA12" s="11">
        <f>'Cash Flows Cumulative'!CA12-'Cash Flows Cumulative'!BZ12</f>
        <v>9858</v>
      </c>
      <c r="CB12" s="11">
        <f>'Cash Flows Cumulative'!CB12-'Cash Flows Cumulative'!CA12</f>
        <v>9328</v>
      </c>
      <c r="CC12" s="61">
        <f t="shared" si="15"/>
        <v>37864</v>
      </c>
      <c r="CD12" s="11">
        <f>'Cash Flows Cumulative'!CD12</f>
        <v>9994</v>
      </c>
      <c r="CE12" s="103">
        <f>'Cash Flows Cumulative'!CE12-'Cash Flows Cumulative'!CD12</f>
        <v>10445</v>
      </c>
      <c r="CF12" s="103">
        <f>'Cash Flows Cumulative'!CF12-'Cash Flows Cumulative'!CE12</f>
        <v>8762</v>
      </c>
      <c r="CG12" s="103">
        <f>'Cash Flows Cumulative'!CG12-'Cash Flows Cumulative'!CF12</f>
        <v>9101</v>
      </c>
      <c r="CH12" s="61">
        <f t="shared" si="16"/>
        <v>38302</v>
      </c>
      <c r="CI12" s="11">
        <f>'Cash Flows Cumulative'!CI12</f>
        <v>9576</v>
      </c>
      <c r="CJ12" s="11">
        <f>'Cash Flows Cumulative'!CJ12-'Cash Flows Cumulative'!CI12</f>
        <v>9673</v>
      </c>
      <c r="CK12" s="11">
        <f>'Cash Flows Cumulative'!CK12-'Cash Flows Cumulative'!CJ12</f>
        <v>8143</v>
      </c>
      <c r="CL12" s="11">
        <f>'Cash Flows Cumulative'!CL12-'Cash Flows Cumulative'!CK12</f>
        <v>12110</v>
      </c>
      <c r="CM12" s="61">
        <f t="shared" si="17"/>
        <v>39502</v>
      </c>
      <c r="CN12" s="11">
        <f>'Cash Flows Cumulative'!CN12</f>
        <v>9738</v>
      </c>
      <c r="CO12" s="11">
        <f>'Cash Flows Cumulative'!CO12-'Cash Flows Cumulative'!CN12</f>
        <v>8544</v>
      </c>
      <c r="CP12" s="11"/>
      <c r="CQ12" s="11"/>
      <c r="CR12" s="61">
        <f t="shared" si="18"/>
        <v>18282</v>
      </c>
    </row>
    <row r="13" spans="1:96" ht="11.15" customHeight="1" x14ac:dyDescent="0.2">
      <c r="A13" s="21" t="s">
        <v>83</v>
      </c>
      <c r="B13" s="11">
        <f>'Cash Flows Cumulative'!B13</f>
        <v>0</v>
      </c>
      <c r="C13" s="11">
        <f>'Cash Flows Cumulative'!C13-'Cash Flows Cumulative'!B13</f>
        <v>321</v>
      </c>
      <c r="D13" s="11">
        <f>'Cash Flows Cumulative'!D13-'Cash Flows Cumulative'!C13</f>
        <v>264</v>
      </c>
      <c r="E13" s="11">
        <f>'Cash Flows Cumulative'!E13-'Cash Flows Cumulative'!D13</f>
        <v>530</v>
      </c>
      <c r="F13" s="61">
        <f t="shared" si="0"/>
        <v>1115</v>
      </c>
      <c r="G13" s="11">
        <f>'Cash Flows Cumulative'!G13</f>
        <v>0</v>
      </c>
      <c r="H13" s="11">
        <f>'Cash Flows Cumulative'!H13-'Cash Flows Cumulative'!G13</f>
        <v>0</v>
      </c>
      <c r="I13" s="11">
        <f>'Cash Flows Cumulative'!I13-'Cash Flows Cumulative'!H13</f>
        <v>-885</v>
      </c>
      <c r="J13" s="11">
        <f>'Cash Flows Cumulative'!J13-'Cash Flows Cumulative'!I13</f>
        <v>-165</v>
      </c>
      <c r="K13" s="61">
        <f t="shared" si="1"/>
        <v>-1050</v>
      </c>
      <c r="L13" s="11">
        <f>'Cash Flows Cumulative'!L13</f>
        <v>-353</v>
      </c>
      <c r="M13" s="11">
        <f>'Cash Flows Cumulative'!M13-'Cash Flows Cumulative'!L13</f>
        <v>39</v>
      </c>
      <c r="N13" s="11">
        <f>'Cash Flows Cumulative'!N13-'Cash Flows Cumulative'!M13</f>
        <v>-1538</v>
      </c>
      <c r="O13" s="11">
        <f>'Cash Flows Cumulative'!O13-'Cash Flows Cumulative'!N13</f>
        <v>-1924</v>
      </c>
      <c r="P13" s="61">
        <f t="shared" si="2"/>
        <v>-3776</v>
      </c>
      <c r="Q13" s="11">
        <f>'Cash Flows Cumulative'!Q13</f>
        <v>1513</v>
      </c>
      <c r="R13" s="11">
        <f>'Cash Flows Cumulative'!R13-'Cash Flows Cumulative'!Q13</f>
        <v>-498</v>
      </c>
      <c r="S13" s="11">
        <f>'Cash Flows Cumulative'!S13-'Cash Flows Cumulative'!R13</f>
        <v>62</v>
      </c>
      <c r="T13" s="11">
        <f>'Cash Flows Cumulative'!T13-'Cash Flows Cumulative'!S13</f>
        <v>-54</v>
      </c>
      <c r="U13" s="61">
        <f t="shared" si="3"/>
        <v>1023</v>
      </c>
      <c r="V13" s="11">
        <f>'Cash Flows Cumulative'!V13</f>
        <v>-106</v>
      </c>
      <c r="W13" s="11">
        <f>'Cash Flows Cumulative'!W13-'Cash Flows Cumulative'!V13</f>
        <v>-2297</v>
      </c>
      <c r="X13" s="11">
        <f>'Cash Flows Cumulative'!X13-'Cash Flows Cumulative'!W13</f>
        <v>2078</v>
      </c>
      <c r="Y13" s="11">
        <f>'Cash Flows Cumulative'!Y13-'Cash Flows Cumulative'!X13</f>
        <v>-563</v>
      </c>
      <c r="Z13" s="61">
        <f t="shared" si="4"/>
        <v>-888</v>
      </c>
      <c r="AA13" s="11">
        <f>'Cash Flows Cumulative'!AA13</f>
        <v>744</v>
      </c>
      <c r="AB13" s="11">
        <f>'Cash Flows Cumulative'!AB13-'Cash Flows Cumulative'!AA13</f>
        <v>-193</v>
      </c>
      <c r="AC13" s="11">
        <f>'Cash Flows Cumulative'!AC13-'Cash Flows Cumulative'!AB13</f>
        <v>-733</v>
      </c>
      <c r="AD13" s="11">
        <f>'Cash Flows Cumulative'!AD13-'Cash Flows Cumulative'!AC13</f>
        <v>-582</v>
      </c>
      <c r="AE13" s="61">
        <f t="shared" si="5"/>
        <v>-764</v>
      </c>
      <c r="AF13" s="11">
        <f>'Cash Flows Cumulative'!AF13</f>
        <v>1747</v>
      </c>
      <c r="AG13" s="11">
        <f>'Cash Flows Cumulative'!AG13-'Cash Flows Cumulative'!AF13</f>
        <v>-2612</v>
      </c>
      <c r="AH13" s="11">
        <f>'Cash Flows Cumulative'!AH13-'Cash Flows Cumulative'!AG13</f>
        <v>2349</v>
      </c>
      <c r="AI13" s="11">
        <f>'Cash Flows Cumulative'!AI13-'Cash Flows Cumulative'!AH13</f>
        <v>-234</v>
      </c>
      <c r="AJ13" s="61">
        <f t="shared" si="6"/>
        <v>1250</v>
      </c>
      <c r="AK13" s="11">
        <f>'Cash Flows Cumulative'!AK13</f>
        <v>-481</v>
      </c>
      <c r="AL13" s="11">
        <f>'Cash Flows Cumulative'!AL13-'Cash Flows Cumulative'!AK13</f>
        <v>-110</v>
      </c>
      <c r="AM13" s="11">
        <f>'Cash Flows Cumulative'!AM13-'Cash Flows Cumulative'!AL13</f>
        <v>1563</v>
      </c>
      <c r="AN13" s="11">
        <f>'Cash Flows Cumulative'!AN13-'Cash Flows Cumulative'!AM13</f>
        <v>-1207</v>
      </c>
      <c r="AO13" s="61">
        <f t="shared" si="7"/>
        <v>-235</v>
      </c>
      <c r="AP13" s="11">
        <f>'Cash Flows Cumulative'!AP13</f>
        <v>-1355</v>
      </c>
      <c r="AQ13" s="11">
        <f>'Cash Flows Cumulative'!AQ13-'Cash Flows Cumulative'!AP13</f>
        <v>-870</v>
      </c>
      <c r="AR13" s="11">
        <f>'Cash Flows Cumulative'!AR13-'Cash Flows Cumulative'!AQ13</f>
        <v>-2322</v>
      </c>
      <c r="AS13" s="11">
        <f>'Cash Flows Cumulative'!AS13-'Cash Flows Cumulative'!AR13</f>
        <v>1050</v>
      </c>
      <c r="AT13" s="61">
        <f t="shared" si="8"/>
        <v>-3497</v>
      </c>
      <c r="AU13" s="11">
        <f>'Cash Flows Cumulative'!AU13</f>
        <v>-5415</v>
      </c>
      <c r="AV13" s="11">
        <f>'Cash Flows Cumulative'!AV13-'Cash Flows Cumulative'!AU13</f>
        <v>2003</v>
      </c>
      <c r="AW13" s="11">
        <f>'Cash Flows Cumulative'!AW13-'Cash Flows Cumulative'!AV13</f>
        <v>-481</v>
      </c>
      <c r="AX13" s="11">
        <f>'Cash Flows Cumulative'!AX13-'Cash Flows Cumulative'!AW13</f>
        <v>-1598</v>
      </c>
      <c r="AY13" s="61">
        <f t="shared" si="9"/>
        <v>-5491</v>
      </c>
      <c r="AZ13" s="11">
        <f>'Cash Flows Cumulative'!AZ13</f>
        <v>4802</v>
      </c>
      <c r="BA13" s="11">
        <f>'Cash Flows Cumulative'!BA13-'Cash Flows Cumulative'!AZ13</f>
        <v>-2562</v>
      </c>
      <c r="BB13" s="11">
        <f>'Cash Flows Cumulative'!BB13-'Cash Flows Cumulative'!BA13</f>
        <v>3804</v>
      </c>
      <c r="BC13" s="11">
        <f>'Cash Flows Cumulative'!BC13-'Cash Flows Cumulative'!BB13</f>
        <v>-3746</v>
      </c>
      <c r="BD13" s="61">
        <f t="shared" si="10"/>
        <v>2298</v>
      </c>
      <c r="BE13" s="11">
        <f>'Cash Flows Cumulative'!BE13</f>
        <v>3462</v>
      </c>
      <c r="BF13" s="11">
        <f>'Cash Flows Cumulative'!BF13-'Cash Flows Cumulative'!BE13</f>
        <v>2076</v>
      </c>
      <c r="BG13" s="11">
        <f>'Cash Flows Cumulative'!BG13-'Cash Flows Cumulative'!BF13</f>
        <v>2659</v>
      </c>
      <c r="BH13" s="11">
        <f>'Cash Flows Cumulative'!BH13-'Cash Flows Cumulative'!BG13</f>
        <v>-248</v>
      </c>
      <c r="BI13" s="61">
        <f t="shared" si="11"/>
        <v>7949</v>
      </c>
      <c r="BJ13" s="11">
        <f>'Cash Flows Cumulative'!BJ13</f>
        <v>-1991</v>
      </c>
      <c r="BK13" s="11">
        <f>'Cash Flows Cumulative'!BK13-'Cash Flows Cumulative'!BJ13</f>
        <v>935</v>
      </c>
      <c r="BL13" s="11">
        <f>'Cash Flows Cumulative'!BL13-'Cash Flows Cumulative'!BK13</f>
        <v>-723</v>
      </c>
      <c r="BM13" s="11">
        <f>'Cash Flows Cumulative'!BM13-'Cash Flows Cumulative'!BL13</f>
        <v>-891</v>
      </c>
      <c r="BN13" s="61">
        <f t="shared" si="12"/>
        <v>-2670</v>
      </c>
      <c r="BO13" s="11">
        <f>'Cash Flows Cumulative'!BO13</f>
        <v>267</v>
      </c>
      <c r="BP13" s="11">
        <f>'Cash Flows Cumulative'!BP13-'Cash Flows Cumulative'!BO13</f>
        <v>3918</v>
      </c>
      <c r="BQ13" s="11">
        <f>'Cash Flows Cumulative'!BQ13-'Cash Flows Cumulative'!BP13</f>
        <v>2848</v>
      </c>
      <c r="BR13" s="11">
        <f>'Cash Flows Cumulative'!BR13-'Cash Flows Cumulative'!BQ13</f>
        <v>3971</v>
      </c>
      <c r="BS13" s="61">
        <f t="shared" si="13"/>
        <v>11004</v>
      </c>
      <c r="BT13" s="11">
        <f>'Cash Flows Cumulative'!BT13</f>
        <v>-19589</v>
      </c>
      <c r="BU13" s="11">
        <f>'Cash Flows Cumulative'!BU13-'Cash Flows Cumulative'!BT13</f>
        <v>10852</v>
      </c>
      <c r="BV13" s="11">
        <f>'Cash Flows Cumulative'!BV13-'Cash Flows Cumulative'!BU13</f>
        <v>-13022</v>
      </c>
      <c r="BW13" s="11">
        <f>'Cash Flows Cumulative'!BW13-'Cash Flows Cumulative'!BV13</f>
        <v>1824</v>
      </c>
      <c r="BX13" s="61">
        <f t="shared" si="14"/>
        <v>-19935</v>
      </c>
      <c r="BY13" s="11">
        <f>'Cash Flows Cumulative'!BY13</f>
        <v>-7800</v>
      </c>
      <c r="BZ13" s="11">
        <f>'Cash Flows Cumulative'!BZ13-'Cash Flows Cumulative'!BY13</f>
        <v>6072</v>
      </c>
      <c r="CA13" s="11">
        <f>'Cash Flows Cumulative'!CA13-'Cash Flows Cumulative'!BZ13</f>
        <v>-2585</v>
      </c>
      <c r="CB13" s="11">
        <f>'Cash Flows Cumulative'!CB13-'Cash Flows Cumulative'!CA13</f>
        <v>-4247</v>
      </c>
      <c r="CC13" s="61">
        <f t="shared" si="15"/>
        <v>-8560</v>
      </c>
      <c r="CD13" s="11">
        <f>'Cash Flows Cumulative'!CD13</f>
        <v>-2393</v>
      </c>
      <c r="CE13" s="103">
        <f>'Cash Flows Cumulative'!CE13-'Cash Flows Cumulative'!CD13</f>
        <v>14977</v>
      </c>
      <c r="CF13" s="103">
        <f>'Cash Flows Cumulative'!CF13-'Cash Flows Cumulative'!CE13</f>
        <v>-4229</v>
      </c>
      <c r="CG13" s="103">
        <f>'Cash Flows Cumulative'!CG13-'Cash Flows Cumulative'!CF13</f>
        <v>-8947</v>
      </c>
      <c r="CH13" s="61">
        <f t="shared" si="16"/>
        <v>-592</v>
      </c>
      <c r="CI13" s="11">
        <f>'Cash Flows Cumulative'!CI13</f>
        <v>-1877</v>
      </c>
      <c r="CJ13" s="11">
        <f>'Cash Flows Cumulative'!CJ13-'Cash Flows Cumulative'!CI13</f>
        <v>61</v>
      </c>
      <c r="CK13" s="11">
        <f>'Cash Flows Cumulative'!CK13-'Cash Flows Cumulative'!CJ13</f>
        <v>-2506</v>
      </c>
      <c r="CL13" s="11">
        <f>'Cash Flows Cumulative'!CL13-'Cash Flows Cumulative'!CK13</f>
        <v>-12</v>
      </c>
      <c r="CM13" s="61">
        <f t="shared" si="17"/>
        <v>-4334</v>
      </c>
      <c r="CN13" s="11">
        <f>'Cash Flows Cumulative'!CN13</f>
        <v>-708</v>
      </c>
      <c r="CO13" s="11">
        <f>'Cash Flows Cumulative'!CO13-'Cash Flows Cumulative'!CN13</f>
        <v>221</v>
      </c>
      <c r="CP13" s="11"/>
      <c r="CQ13" s="11"/>
      <c r="CR13" s="61">
        <f t="shared" si="18"/>
        <v>-487</v>
      </c>
    </row>
    <row r="14" spans="1:96" ht="11.15" customHeight="1" x14ac:dyDescent="0.2">
      <c r="A14" s="21" t="s">
        <v>228</v>
      </c>
      <c r="B14" s="11"/>
      <c r="C14" s="11"/>
      <c r="D14" s="11"/>
      <c r="E14" s="11"/>
      <c r="F14" s="61"/>
      <c r="G14" s="11"/>
      <c r="H14" s="11"/>
      <c r="I14" s="11"/>
      <c r="J14" s="11"/>
      <c r="K14" s="61"/>
      <c r="L14" s="11"/>
      <c r="M14" s="11"/>
      <c r="N14" s="11"/>
      <c r="O14" s="11"/>
      <c r="P14" s="61"/>
      <c r="Q14" s="11"/>
      <c r="R14" s="11"/>
      <c r="S14" s="11"/>
      <c r="T14" s="11"/>
      <c r="U14" s="61"/>
      <c r="V14" s="11"/>
      <c r="W14" s="11"/>
      <c r="X14" s="11"/>
      <c r="Y14" s="11"/>
      <c r="Z14" s="61"/>
      <c r="AA14" s="11"/>
      <c r="AB14" s="11"/>
      <c r="AC14" s="11"/>
      <c r="AD14" s="11"/>
      <c r="AE14" s="61"/>
      <c r="AF14" s="11"/>
      <c r="AG14" s="11"/>
      <c r="AH14" s="11"/>
      <c r="AI14" s="11"/>
      <c r="AJ14" s="61"/>
      <c r="AK14" s="11"/>
      <c r="AL14" s="11"/>
      <c r="AM14" s="11"/>
      <c r="AN14" s="11"/>
      <c r="AO14" s="61"/>
      <c r="AP14" s="11"/>
      <c r="AQ14" s="11"/>
      <c r="AR14" s="11"/>
      <c r="AS14" s="11"/>
      <c r="AT14" s="61"/>
      <c r="AU14" s="11"/>
      <c r="AV14" s="11"/>
      <c r="AW14" s="11"/>
      <c r="AX14" s="11"/>
      <c r="AY14" s="61"/>
      <c r="AZ14" s="11"/>
      <c r="BA14" s="11"/>
      <c r="BB14" s="11"/>
      <c r="BC14" s="11"/>
      <c r="BD14" s="61"/>
      <c r="BE14" s="11"/>
      <c r="BF14" s="11"/>
      <c r="BG14" s="11"/>
      <c r="BH14" s="11"/>
      <c r="BI14" s="61"/>
      <c r="BJ14" s="11"/>
      <c r="BK14" s="11"/>
      <c r="BL14" s="11"/>
      <c r="BM14" s="11"/>
      <c r="BN14" s="61"/>
      <c r="BO14" s="11"/>
      <c r="BP14" s="11"/>
      <c r="BQ14" s="11"/>
      <c r="BR14" s="11"/>
      <c r="BS14" s="61"/>
      <c r="BT14" s="11"/>
      <c r="BU14" s="11"/>
      <c r="BV14" s="11"/>
      <c r="BW14" s="11"/>
      <c r="BX14" s="61"/>
      <c r="BY14" s="11"/>
      <c r="BZ14" s="11"/>
      <c r="CA14" s="11"/>
      <c r="CB14" s="11"/>
      <c r="CC14" s="61"/>
      <c r="CD14" s="11">
        <v>0</v>
      </c>
      <c r="CE14" s="103">
        <v>0</v>
      </c>
      <c r="CF14" s="103">
        <f>'Cash Flows Cumulative'!CF14-'Cash Flows Cumulative'!CE14</f>
        <v>-21748</v>
      </c>
      <c r="CG14" s="103">
        <f>'Cash Flows Cumulative'!CG14-'Cash Flows Cumulative'!CF14</f>
        <v>-10098</v>
      </c>
      <c r="CH14" s="61">
        <f t="shared" si="16"/>
        <v>-31846</v>
      </c>
      <c r="CI14" s="11">
        <v>0</v>
      </c>
      <c r="CJ14" s="11">
        <v>0</v>
      </c>
      <c r="CK14" s="11">
        <v>0</v>
      </c>
      <c r="CL14" s="11">
        <f>'Cash Flows Cumulative'!CL14-'Cash Flows Cumulative'!CK14</f>
        <v>0</v>
      </c>
      <c r="CM14" s="61">
        <f t="shared" si="17"/>
        <v>0</v>
      </c>
      <c r="CN14" s="11">
        <v>0</v>
      </c>
      <c r="CO14" s="11">
        <v>0</v>
      </c>
      <c r="CP14" s="11"/>
      <c r="CQ14" s="11"/>
      <c r="CR14" s="61">
        <f>SUM(CN14:CQ14)</f>
        <v>0</v>
      </c>
    </row>
    <row r="15" spans="1:96" ht="11.15" customHeight="1" x14ac:dyDescent="0.2">
      <c r="A15" s="21" t="s">
        <v>21</v>
      </c>
      <c r="B15" s="11">
        <f>'Cash Flows Cumulative'!B15</f>
        <v>2892</v>
      </c>
      <c r="C15" s="11">
        <f>'Cash Flows Cumulative'!C15-'Cash Flows Cumulative'!B15</f>
        <v>1089</v>
      </c>
      <c r="D15" s="11">
        <f>'Cash Flows Cumulative'!D15-'Cash Flows Cumulative'!C15</f>
        <v>3066</v>
      </c>
      <c r="E15" s="11">
        <f>'Cash Flows Cumulative'!E15-'Cash Flows Cumulative'!D15</f>
        <v>22752</v>
      </c>
      <c r="F15" s="61">
        <f t="shared" si="0"/>
        <v>29799</v>
      </c>
      <c r="G15" s="11">
        <f>'Cash Flows Cumulative'!G15</f>
        <v>-454</v>
      </c>
      <c r="H15" s="11">
        <f>'Cash Flows Cumulative'!H15-'Cash Flows Cumulative'!G15</f>
        <v>70</v>
      </c>
      <c r="I15" s="11">
        <f>'Cash Flows Cumulative'!I15-'Cash Flows Cumulative'!H15</f>
        <v>355</v>
      </c>
      <c r="J15" s="11">
        <f>'Cash Flows Cumulative'!J15-'Cash Flows Cumulative'!I15</f>
        <v>-13</v>
      </c>
      <c r="K15" s="61">
        <f t="shared" si="1"/>
        <v>-42</v>
      </c>
      <c r="L15" s="11">
        <f>'Cash Flows Cumulative'!L15</f>
        <v>130</v>
      </c>
      <c r="M15" s="11">
        <f>'Cash Flows Cumulative'!M15-'Cash Flows Cumulative'!L15</f>
        <v>-334</v>
      </c>
      <c r="N15" s="11">
        <f>'Cash Flows Cumulative'!N15-'Cash Flows Cumulative'!M15</f>
        <v>-362</v>
      </c>
      <c r="O15" s="11">
        <f>'Cash Flows Cumulative'!O15-'Cash Flows Cumulative'!N15</f>
        <v>315</v>
      </c>
      <c r="P15" s="61">
        <f t="shared" si="2"/>
        <v>-251</v>
      </c>
      <c r="Q15" s="11">
        <f>'Cash Flows Cumulative'!Q15</f>
        <v>-31</v>
      </c>
      <c r="R15" s="11">
        <f>'Cash Flows Cumulative'!R15-'Cash Flows Cumulative'!Q15</f>
        <v>11</v>
      </c>
      <c r="S15" s="11">
        <f>'Cash Flows Cumulative'!S15-'Cash Flows Cumulative'!R15</f>
        <v>-9</v>
      </c>
      <c r="T15" s="11">
        <f>'Cash Flows Cumulative'!T15-'Cash Flows Cumulative'!S15</f>
        <v>-7</v>
      </c>
      <c r="U15" s="61">
        <f t="shared" si="3"/>
        <v>-36</v>
      </c>
      <c r="V15" s="11">
        <f>'Cash Flows Cumulative'!V15</f>
        <v>-10</v>
      </c>
      <c r="W15" s="11">
        <f>'Cash Flows Cumulative'!W15-'Cash Flows Cumulative'!V15</f>
        <v>-41</v>
      </c>
      <c r="X15" s="11">
        <f>'Cash Flows Cumulative'!X15-'Cash Flows Cumulative'!W15</f>
        <v>193</v>
      </c>
      <c r="Y15" s="11">
        <f>'Cash Flows Cumulative'!Y15-'Cash Flows Cumulative'!X15</f>
        <v>1042</v>
      </c>
      <c r="Z15" s="61">
        <f t="shared" si="4"/>
        <v>1184</v>
      </c>
      <c r="AA15" s="11">
        <f>'Cash Flows Cumulative'!AA15</f>
        <v>-293</v>
      </c>
      <c r="AB15" s="11">
        <f>'Cash Flows Cumulative'!AB15-'Cash Flows Cumulative'!AA15</f>
        <v>823</v>
      </c>
      <c r="AC15" s="11">
        <f>'Cash Flows Cumulative'!AC15-'Cash Flows Cumulative'!AB15</f>
        <v>18</v>
      </c>
      <c r="AD15" s="11">
        <f>'Cash Flows Cumulative'!AD15-'Cash Flows Cumulative'!AC15</f>
        <v>17</v>
      </c>
      <c r="AE15" s="61">
        <f t="shared" si="5"/>
        <v>565</v>
      </c>
      <c r="AF15" s="11">
        <f>'Cash Flows Cumulative'!AF15</f>
        <v>12</v>
      </c>
      <c r="AG15" s="11">
        <f>'Cash Flows Cumulative'!AG15-'Cash Flows Cumulative'!AF15</f>
        <v>0</v>
      </c>
      <c r="AH15" s="11">
        <f>'Cash Flows Cumulative'!AH15-'Cash Flows Cumulative'!AG15</f>
        <v>26</v>
      </c>
      <c r="AI15" s="11">
        <f>'Cash Flows Cumulative'!AI15-'Cash Flows Cumulative'!AH15</f>
        <v>-57</v>
      </c>
      <c r="AJ15" s="61">
        <f t="shared" si="6"/>
        <v>-19</v>
      </c>
      <c r="AK15" s="11">
        <f>'Cash Flows Cumulative'!AK15</f>
        <v>-16</v>
      </c>
      <c r="AL15" s="11">
        <f>'Cash Flows Cumulative'!AL15-'Cash Flows Cumulative'!AK15</f>
        <v>476</v>
      </c>
      <c r="AM15" s="11">
        <f>'Cash Flows Cumulative'!AM15-'Cash Flows Cumulative'!AL15</f>
        <v>-91</v>
      </c>
      <c r="AN15" s="11">
        <f>'Cash Flows Cumulative'!AN15-'Cash Flows Cumulative'!AM15</f>
        <v>-307</v>
      </c>
      <c r="AO15" s="61">
        <f t="shared" si="7"/>
        <v>62</v>
      </c>
      <c r="AP15" s="11">
        <f>'Cash Flows Cumulative'!AP15</f>
        <v>422</v>
      </c>
      <c r="AQ15" s="11">
        <f>'Cash Flows Cumulative'!AQ15-'Cash Flows Cumulative'!AP15</f>
        <v>-87</v>
      </c>
      <c r="AR15" s="11">
        <f>'Cash Flows Cumulative'!AR15-'Cash Flows Cumulative'!AQ15</f>
        <v>129</v>
      </c>
      <c r="AS15" s="11">
        <f>'Cash Flows Cumulative'!AS15-'Cash Flows Cumulative'!AR15</f>
        <v>-5</v>
      </c>
      <c r="AT15" s="61">
        <f t="shared" si="8"/>
        <v>459</v>
      </c>
      <c r="AU15" s="11">
        <f>'Cash Flows Cumulative'!AU15</f>
        <v>50</v>
      </c>
      <c r="AV15" s="11">
        <f>'Cash Flows Cumulative'!AV15-'Cash Flows Cumulative'!AU15</f>
        <v>45</v>
      </c>
      <c r="AW15" s="11">
        <f>'Cash Flows Cumulative'!AW15-'Cash Flows Cumulative'!AV15</f>
        <v>96</v>
      </c>
      <c r="AX15" s="11">
        <f>'Cash Flows Cumulative'!AX15-'Cash Flows Cumulative'!AW15</f>
        <v>319</v>
      </c>
      <c r="AY15" s="61">
        <f t="shared" si="9"/>
        <v>510</v>
      </c>
      <c r="AZ15" s="11">
        <f>'Cash Flows Cumulative'!AZ15</f>
        <v>175</v>
      </c>
      <c r="BA15" s="11">
        <f>'Cash Flows Cumulative'!BA15-'Cash Flows Cumulative'!AZ15</f>
        <v>119</v>
      </c>
      <c r="BB15" s="11">
        <f>'Cash Flows Cumulative'!BB15-'Cash Flows Cumulative'!BA15</f>
        <v>-101</v>
      </c>
      <c r="BC15" s="11">
        <f>'Cash Flows Cumulative'!BC15-'Cash Flows Cumulative'!BB15</f>
        <v>2531</v>
      </c>
      <c r="BD15" s="61">
        <f t="shared" si="10"/>
        <v>2724</v>
      </c>
      <c r="BE15" s="11">
        <f>'Cash Flows Cumulative'!BE15</f>
        <v>842</v>
      </c>
      <c r="BF15" s="11">
        <f>'Cash Flows Cumulative'!BF15-'Cash Flows Cumulative'!BE15</f>
        <v>-154</v>
      </c>
      <c r="BG15" s="11">
        <f>'Cash Flows Cumulative'!BG15-'Cash Flows Cumulative'!BF15</f>
        <v>11</v>
      </c>
      <c r="BH15" s="11">
        <f>'Cash Flows Cumulative'!BH15-'Cash Flows Cumulative'!BG15</f>
        <v>287</v>
      </c>
      <c r="BI15" s="61">
        <f t="shared" si="11"/>
        <v>986</v>
      </c>
      <c r="BJ15" s="11">
        <f>'Cash Flows Cumulative'!BJ15</f>
        <v>4</v>
      </c>
      <c r="BK15" s="11">
        <f>'Cash Flows Cumulative'!BK15-'Cash Flows Cumulative'!BJ15</f>
        <v>-185</v>
      </c>
      <c r="BL15" s="11">
        <f>'Cash Flows Cumulative'!BL15-'Cash Flows Cumulative'!BK15</f>
        <v>-1755</v>
      </c>
      <c r="BM15" s="11">
        <f>'Cash Flows Cumulative'!BM15-'Cash Flows Cumulative'!BL15</f>
        <v>-1650</v>
      </c>
      <c r="BN15" s="61">
        <f t="shared" si="12"/>
        <v>-3586</v>
      </c>
      <c r="BO15" s="11">
        <f>'Cash Flows Cumulative'!BO15</f>
        <v>123</v>
      </c>
      <c r="BP15" s="11">
        <f>'Cash Flows Cumulative'!BP15-'Cash Flows Cumulative'!BO15</f>
        <v>47</v>
      </c>
      <c r="BQ15" s="11">
        <f>'Cash Flows Cumulative'!BQ15-'Cash Flows Cumulative'!BP15</f>
        <v>684</v>
      </c>
      <c r="BR15" s="11">
        <f>'Cash Flows Cumulative'!BR15-'Cash Flows Cumulative'!BQ15</f>
        <v>2466</v>
      </c>
      <c r="BS15" s="61">
        <f t="shared" si="13"/>
        <v>3320</v>
      </c>
      <c r="BT15" s="11">
        <f>'Cash Flows Cumulative'!BT15</f>
        <v>1015</v>
      </c>
      <c r="BU15" s="11">
        <f>'Cash Flows Cumulative'!BU15-'Cash Flows Cumulative'!BT15</f>
        <v>1620</v>
      </c>
      <c r="BV15" s="11">
        <f>'Cash Flows Cumulative'!BV15-'Cash Flows Cumulative'!BU15</f>
        <v>4188</v>
      </c>
      <c r="BW15" s="11">
        <f>'Cash Flows Cumulative'!BW15-'Cash Flows Cumulative'!BV15</f>
        <v>1819</v>
      </c>
      <c r="BX15" s="61">
        <f t="shared" si="14"/>
        <v>8642</v>
      </c>
      <c r="BY15" s="11">
        <f>'Cash Flows Cumulative'!BY15</f>
        <v>1462</v>
      </c>
      <c r="BZ15" s="11">
        <f>'Cash Flows Cumulative'!BZ15-'Cash Flows Cumulative'!BY15</f>
        <v>2109</v>
      </c>
      <c r="CA15" s="11">
        <f>'Cash Flows Cumulative'!CA15-'Cash Flows Cumulative'!BZ15</f>
        <v>2257</v>
      </c>
      <c r="CB15" s="11">
        <f>'Cash Flows Cumulative'!CB15-'Cash Flows Cumulative'!CA15</f>
        <v>2790</v>
      </c>
      <c r="CC15" s="61">
        <f t="shared" si="15"/>
        <v>8618</v>
      </c>
      <c r="CD15" s="11">
        <f>'Cash Flows Cumulative'!CD15</f>
        <v>2368</v>
      </c>
      <c r="CE15" s="103">
        <f>'Cash Flows Cumulative'!CE15-'Cash Flows Cumulative'!CD15</f>
        <v>1392</v>
      </c>
      <c r="CF15" s="103">
        <f>'Cash Flows Cumulative'!CF15-'Cash Flows Cumulative'!CE15</f>
        <v>435</v>
      </c>
      <c r="CG15" s="103">
        <f>'Cash Flows Cumulative'!CG15-'Cash Flows Cumulative'!CF15</f>
        <v>-2541</v>
      </c>
      <c r="CH15" s="61">
        <f t="shared" si="16"/>
        <v>1654</v>
      </c>
      <c r="CI15" s="11">
        <f>'Cash Flows Cumulative'!CI15</f>
        <v>-4244</v>
      </c>
      <c r="CJ15" s="11">
        <f>'Cash Flows Cumulative'!CJ15-'Cash Flows Cumulative'!CI15</f>
        <v>-4639</v>
      </c>
      <c r="CK15" s="11">
        <f>'Cash Flows Cumulative'!CK15-'Cash Flows Cumulative'!CJ15</f>
        <v>-4114</v>
      </c>
      <c r="CL15" s="11">
        <f>'Cash Flows Cumulative'!CL15-'Cash Flows Cumulative'!CK15</f>
        <v>-6911</v>
      </c>
      <c r="CM15" s="61">
        <f t="shared" si="17"/>
        <v>-19908</v>
      </c>
      <c r="CN15" s="11">
        <f>'Cash Flows Cumulative'!CN15</f>
        <v>-12931</v>
      </c>
      <c r="CO15" s="11">
        <f>'Cash Flows Cumulative'!CO15-'Cash Flows Cumulative'!CN15</f>
        <v>-5592</v>
      </c>
      <c r="CP15" s="11"/>
      <c r="CQ15" s="11"/>
      <c r="CR15" s="61">
        <f>SUM(CN15:CQ15)</f>
        <v>-18523</v>
      </c>
    </row>
    <row r="16" spans="1:96" ht="11.15" customHeight="1" x14ac:dyDescent="0.2">
      <c r="A16" s="21" t="s">
        <v>62</v>
      </c>
      <c r="B16" s="11">
        <f>'Cash Flows Cumulative'!B16</f>
        <v>0</v>
      </c>
      <c r="C16" s="11">
        <f>'Cash Flows Cumulative'!C16-'Cash Flows Cumulative'!B16</f>
        <v>298</v>
      </c>
      <c r="D16" s="11">
        <f>'Cash Flows Cumulative'!D16-'Cash Flows Cumulative'!C16</f>
        <v>298</v>
      </c>
      <c r="E16" s="11">
        <f>'Cash Flows Cumulative'!E16-'Cash Flows Cumulative'!D16</f>
        <v>441</v>
      </c>
      <c r="F16" s="61">
        <f t="shared" si="0"/>
        <v>1037</v>
      </c>
      <c r="G16" s="11">
        <f>'Cash Flows Cumulative'!G16</f>
        <v>763</v>
      </c>
      <c r="H16" s="11">
        <f>'Cash Flows Cumulative'!H16-'Cash Flows Cumulative'!G16</f>
        <v>1309</v>
      </c>
      <c r="I16" s="11">
        <f>'Cash Flows Cumulative'!I16-'Cash Flows Cumulative'!H16</f>
        <v>483</v>
      </c>
      <c r="J16" s="11">
        <f>'Cash Flows Cumulative'!J16-'Cash Flows Cumulative'!I16</f>
        <v>1522</v>
      </c>
      <c r="K16" s="61">
        <f t="shared" si="1"/>
        <v>4077</v>
      </c>
      <c r="L16" s="11">
        <f>'Cash Flows Cumulative'!L16</f>
        <v>1710</v>
      </c>
      <c r="M16" s="11">
        <f>'Cash Flows Cumulative'!M16-'Cash Flows Cumulative'!L16</f>
        <v>1779</v>
      </c>
      <c r="N16" s="11">
        <f>'Cash Flows Cumulative'!N16-'Cash Flows Cumulative'!M16</f>
        <v>2556</v>
      </c>
      <c r="O16" s="11">
        <f>'Cash Flows Cumulative'!O16-'Cash Flows Cumulative'!N16</f>
        <v>1857</v>
      </c>
      <c r="P16" s="61">
        <f t="shared" si="2"/>
        <v>7902</v>
      </c>
      <c r="Q16" s="11">
        <f>'Cash Flows Cumulative'!Q16</f>
        <v>3728</v>
      </c>
      <c r="R16" s="11">
        <f>'Cash Flows Cumulative'!R16-'Cash Flows Cumulative'!Q16</f>
        <v>2424</v>
      </c>
      <c r="S16" s="11">
        <f>'Cash Flows Cumulative'!S16-'Cash Flows Cumulative'!R16</f>
        <v>2483</v>
      </c>
      <c r="T16" s="11">
        <f>'Cash Flows Cumulative'!T16-'Cash Flows Cumulative'!S16</f>
        <v>2718</v>
      </c>
      <c r="U16" s="61">
        <f t="shared" si="3"/>
        <v>11353</v>
      </c>
      <c r="V16" s="11">
        <f>'Cash Flows Cumulative'!V16</f>
        <v>1718</v>
      </c>
      <c r="W16" s="11">
        <f>'Cash Flows Cumulative'!W16-'Cash Flows Cumulative'!V16</f>
        <v>2757</v>
      </c>
      <c r="X16" s="11">
        <f>'Cash Flows Cumulative'!X16-'Cash Flows Cumulative'!W16</f>
        <v>3635</v>
      </c>
      <c r="Y16" s="11">
        <f>'Cash Flows Cumulative'!Y16-'Cash Flows Cumulative'!X16</f>
        <v>3267</v>
      </c>
      <c r="Z16" s="61">
        <f t="shared" si="4"/>
        <v>11377</v>
      </c>
      <c r="AA16" s="11">
        <f>'Cash Flows Cumulative'!AA16</f>
        <v>3806</v>
      </c>
      <c r="AB16" s="11">
        <f>'Cash Flows Cumulative'!AB16-'Cash Flows Cumulative'!AA16</f>
        <v>3250</v>
      </c>
      <c r="AC16" s="11">
        <f>'Cash Flows Cumulative'!AC16-'Cash Flows Cumulative'!AB16</f>
        <v>4803</v>
      </c>
      <c r="AD16" s="11">
        <f>'Cash Flows Cumulative'!AD16-'Cash Flows Cumulative'!AC16</f>
        <v>3487</v>
      </c>
      <c r="AE16" s="61">
        <f t="shared" si="5"/>
        <v>15346</v>
      </c>
      <c r="AF16" s="11">
        <f>'Cash Flows Cumulative'!AF16</f>
        <v>3799</v>
      </c>
      <c r="AG16" s="11">
        <f>'Cash Flows Cumulative'!AG16-'Cash Flows Cumulative'!AF16</f>
        <v>4703</v>
      </c>
      <c r="AH16" s="11">
        <f>'Cash Flows Cumulative'!AH16-'Cash Flows Cumulative'!AG16</f>
        <v>6260</v>
      </c>
      <c r="AI16" s="11">
        <f>'Cash Flows Cumulative'!AI16-'Cash Flows Cumulative'!AH16</f>
        <v>5205</v>
      </c>
      <c r="AJ16" s="61">
        <f t="shared" si="6"/>
        <v>19967</v>
      </c>
      <c r="AK16" s="11">
        <f>'Cash Flows Cumulative'!AK16</f>
        <v>3705</v>
      </c>
      <c r="AL16" s="11">
        <f>'Cash Flows Cumulative'!AL16-'Cash Flows Cumulative'!AK16</f>
        <v>6550</v>
      </c>
      <c r="AM16" s="11">
        <f>'Cash Flows Cumulative'!AM16-'Cash Flows Cumulative'!AL16</f>
        <v>7948</v>
      </c>
      <c r="AN16" s="11">
        <f>'Cash Flows Cumulative'!AN16-'Cash Flows Cumulative'!AM16</f>
        <v>11772</v>
      </c>
      <c r="AO16" s="61">
        <f t="shared" si="7"/>
        <v>29975</v>
      </c>
      <c r="AP16" s="11">
        <f>'Cash Flows Cumulative'!AP16</f>
        <v>5284</v>
      </c>
      <c r="AQ16" s="11">
        <f>'Cash Flows Cumulative'!AQ16-'Cash Flows Cumulative'!AP16</f>
        <v>6923</v>
      </c>
      <c r="AR16" s="11">
        <f>'Cash Flows Cumulative'!AR16-'Cash Flows Cumulative'!AQ16</f>
        <v>7699</v>
      </c>
      <c r="AS16" s="11">
        <f>'Cash Flows Cumulative'!AS16-'Cash Flows Cumulative'!AR16</f>
        <v>8130</v>
      </c>
      <c r="AT16" s="61">
        <f t="shared" si="8"/>
        <v>28036</v>
      </c>
      <c r="AU16" s="11">
        <f>'Cash Flows Cumulative'!AU16</f>
        <v>8017</v>
      </c>
      <c r="AV16" s="11">
        <f>'Cash Flows Cumulative'!AV16-'Cash Flows Cumulative'!AU16</f>
        <v>10787</v>
      </c>
      <c r="AW16" s="11">
        <f>'Cash Flows Cumulative'!AW16-'Cash Flows Cumulative'!AV16</f>
        <v>10610</v>
      </c>
      <c r="AX16" s="11">
        <f>'Cash Flows Cumulative'!AX16-'Cash Flows Cumulative'!AW16</f>
        <v>10571</v>
      </c>
      <c r="AY16" s="61">
        <f t="shared" si="9"/>
        <v>39985</v>
      </c>
      <c r="AZ16" s="11">
        <f>'Cash Flows Cumulative'!AZ16</f>
        <v>8927</v>
      </c>
      <c r="BA16" s="11">
        <f>'Cash Flows Cumulative'!BA16-'Cash Flows Cumulative'!AZ16</f>
        <v>11532</v>
      </c>
      <c r="BB16" s="11">
        <f>'Cash Flows Cumulative'!BB16-'Cash Flows Cumulative'!BA16</f>
        <v>13047</v>
      </c>
      <c r="BC16" s="11">
        <f>'Cash Flows Cumulative'!BC16-'Cash Flows Cumulative'!BB16</f>
        <v>12963</v>
      </c>
      <c r="BD16" s="61">
        <f t="shared" si="10"/>
        <v>46469</v>
      </c>
      <c r="BE16" s="11">
        <f>'Cash Flows Cumulative'!BE16</f>
        <v>9002</v>
      </c>
      <c r="BF16" s="11">
        <f>'Cash Flows Cumulative'!BF16-'Cash Flows Cumulative'!BE16</f>
        <v>13752</v>
      </c>
      <c r="BG16" s="11">
        <f>'Cash Flows Cumulative'!BG16-'Cash Flows Cumulative'!BF16</f>
        <v>11936</v>
      </c>
      <c r="BH16" s="11">
        <f>'Cash Flows Cumulative'!BH16-'Cash Flows Cumulative'!BG16</f>
        <v>10288</v>
      </c>
      <c r="BI16" s="61">
        <f t="shared" si="11"/>
        <v>44978</v>
      </c>
      <c r="BJ16" s="11">
        <f>'Cash Flows Cumulative'!BJ16</f>
        <v>9318</v>
      </c>
      <c r="BK16" s="11">
        <f>'Cash Flows Cumulative'!BK16-'Cash Flows Cumulative'!BJ16</f>
        <v>10774</v>
      </c>
      <c r="BL16" s="11">
        <f>'Cash Flows Cumulative'!BL16-'Cash Flows Cumulative'!BK16</f>
        <v>10490</v>
      </c>
      <c r="BM16" s="11">
        <f>'Cash Flows Cumulative'!BM16-'Cash Flows Cumulative'!BL16</f>
        <v>8280</v>
      </c>
      <c r="BN16" s="61">
        <f t="shared" si="12"/>
        <v>38862</v>
      </c>
      <c r="BO16" s="11">
        <f>'Cash Flows Cumulative'!BO16</f>
        <v>9912</v>
      </c>
      <c r="BP16" s="11">
        <f>'Cash Flows Cumulative'!BP16-'Cash Flows Cumulative'!BO16</f>
        <v>12785</v>
      </c>
      <c r="BQ16" s="11">
        <f>'Cash Flows Cumulative'!BQ16-'Cash Flows Cumulative'!BP16</f>
        <v>16051</v>
      </c>
      <c r="BR16" s="11">
        <f>'Cash Flows Cumulative'!BR16-'Cash Flows Cumulative'!BQ16</f>
        <v>25004</v>
      </c>
      <c r="BS16" s="61">
        <f t="shared" si="13"/>
        <v>63752</v>
      </c>
      <c r="BT16" s="11">
        <f>'Cash Flows Cumulative'!BT16</f>
        <v>13486</v>
      </c>
      <c r="BU16" s="11">
        <f>'Cash Flows Cumulative'!BU16-'Cash Flows Cumulative'!BT16</f>
        <v>10998</v>
      </c>
      <c r="BV16" s="11">
        <f>'Cash Flows Cumulative'!BV16-'Cash Flows Cumulative'!BU16</f>
        <v>18075</v>
      </c>
      <c r="BW16" s="11">
        <f>'Cash Flows Cumulative'!BW16-'Cash Flows Cumulative'!BV16</f>
        <v>28013</v>
      </c>
      <c r="BX16" s="61">
        <f t="shared" si="14"/>
        <v>70572</v>
      </c>
      <c r="BY16" s="11">
        <f>'Cash Flows Cumulative'!BY16</f>
        <v>16685</v>
      </c>
      <c r="BZ16" s="11">
        <f>'Cash Flows Cumulative'!BZ16-'Cash Flows Cumulative'!BY16</f>
        <v>15969</v>
      </c>
      <c r="CA16" s="11">
        <f>'Cash Flows Cumulative'!CA16-'Cash Flows Cumulative'!BZ16</f>
        <v>17710</v>
      </c>
      <c r="CB16" s="11">
        <f>'Cash Flows Cumulative'!CB16-'Cash Flows Cumulative'!CA16</f>
        <v>18077</v>
      </c>
      <c r="CC16" s="61">
        <f t="shared" si="15"/>
        <v>68441</v>
      </c>
      <c r="CD16" s="11">
        <f>'Cash Flows Cumulative'!CD16</f>
        <v>16142</v>
      </c>
      <c r="CE16" s="103">
        <f>'Cash Flows Cumulative'!CE16-'Cash Flows Cumulative'!CD16</f>
        <v>22502</v>
      </c>
      <c r="CF16" s="103">
        <f>'Cash Flows Cumulative'!CF16-'Cash Flows Cumulative'!CE16</f>
        <v>20346</v>
      </c>
      <c r="CG16" s="103">
        <f>'Cash Flows Cumulative'!CG16-'Cash Flows Cumulative'!CF16</f>
        <v>94662</v>
      </c>
      <c r="CH16" s="61">
        <f t="shared" si="16"/>
        <v>153652</v>
      </c>
      <c r="CI16" s="11">
        <f>'Cash Flows Cumulative'!CI16</f>
        <v>17214</v>
      </c>
      <c r="CJ16" s="11">
        <f>'Cash Flows Cumulative'!CJ16-'Cash Flows Cumulative'!CI16</f>
        <v>14632</v>
      </c>
      <c r="CK16" s="11">
        <f>'Cash Flows Cumulative'!CK16-'Cash Flows Cumulative'!CJ16</f>
        <v>12043</v>
      </c>
      <c r="CL16" s="11">
        <f>'Cash Flows Cumulative'!CL16-'Cash Flows Cumulative'!CK16</f>
        <v>17169</v>
      </c>
      <c r="CM16" s="61">
        <f t="shared" si="17"/>
        <v>61058</v>
      </c>
      <c r="CN16" s="11">
        <f>'Cash Flows Cumulative'!CN16</f>
        <v>14761</v>
      </c>
      <c r="CO16" s="11">
        <f>'Cash Flows Cumulative'!CO16-'Cash Flows Cumulative'!CN16</f>
        <v>15604</v>
      </c>
      <c r="CP16" s="11"/>
      <c r="CQ16" s="11"/>
      <c r="CR16" s="61">
        <f t="shared" si="18"/>
        <v>30365</v>
      </c>
    </row>
    <row r="17" spans="1:96" ht="11.15" customHeight="1" x14ac:dyDescent="0.2">
      <c r="A17" s="21" t="s">
        <v>84</v>
      </c>
      <c r="B17" s="11">
        <f>'Cash Flows Cumulative'!B17</f>
        <v>0</v>
      </c>
      <c r="C17" s="11"/>
      <c r="D17" s="11"/>
      <c r="E17" s="11"/>
      <c r="F17" s="61">
        <f t="shared" si="0"/>
        <v>0</v>
      </c>
      <c r="G17" s="11">
        <f>'Cash Flows Cumulative'!G17</f>
        <v>0</v>
      </c>
      <c r="H17" s="11"/>
      <c r="I17" s="11"/>
      <c r="J17" s="11"/>
      <c r="K17" s="61">
        <f t="shared" si="1"/>
        <v>0</v>
      </c>
      <c r="L17" s="11">
        <f>'Cash Flows Cumulative'!L17</f>
        <v>0</v>
      </c>
      <c r="M17" s="11"/>
      <c r="N17" s="11"/>
      <c r="O17" s="11"/>
      <c r="P17" s="61">
        <f t="shared" si="2"/>
        <v>0</v>
      </c>
      <c r="Q17" s="11">
        <f>'Cash Flows Cumulative'!Q17</f>
        <v>0</v>
      </c>
      <c r="R17" s="11"/>
      <c r="S17" s="11"/>
      <c r="T17" s="11"/>
      <c r="U17" s="61">
        <f t="shared" si="3"/>
        <v>0</v>
      </c>
      <c r="V17" s="11">
        <f>'Cash Flows Cumulative'!V17</f>
        <v>0</v>
      </c>
      <c r="W17" s="11"/>
      <c r="X17" s="11"/>
      <c r="Y17" s="11"/>
      <c r="Z17" s="61">
        <f t="shared" si="4"/>
        <v>0</v>
      </c>
      <c r="AA17" s="11">
        <f>'Cash Flows Cumulative'!AA17</f>
        <v>0</v>
      </c>
      <c r="AB17" s="11"/>
      <c r="AC17" s="11"/>
      <c r="AD17" s="11"/>
      <c r="AE17" s="61">
        <f t="shared" si="5"/>
        <v>0</v>
      </c>
      <c r="AF17" s="11">
        <f>'Cash Flows Cumulative'!AF17</f>
        <v>0</v>
      </c>
      <c r="AG17" s="11"/>
      <c r="AH17" s="11"/>
      <c r="AI17" s="11"/>
      <c r="AJ17" s="61">
        <f t="shared" si="6"/>
        <v>0</v>
      </c>
      <c r="AK17" s="11">
        <f>'Cash Flows Cumulative'!AK17</f>
        <v>0</v>
      </c>
      <c r="AL17" s="11"/>
      <c r="AM17" s="11"/>
      <c r="AN17" s="11"/>
      <c r="AO17" s="61">
        <f t="shared" si="7"/>
        <v>0</v>
      </c>
      <c r="AP17" s="11">
        <f>'Cash Flows Cumulative'!AP17</f>
        <v>0</v>
      </c>
      <c r="AQ17" s="11"/>
      <c r="AR17" s="11"/>
      <c r="AS17" s="11"/>
      <c r="AT17" s="61">
        <f t="shared" si="8"/>
        <v>0</v>
      </c>
      <c r="AU17" s="11">
        <f>'Cash Flows Cumulative'!AU17</f>
        <v>0</v>
      </c>
      <c r="AV17" s="11"/>
      <c r="AW17" s="11"/>
      <c r="AX17" s="11"/>
      <c r="AY17" s="61">
        <f t="shared" si="9"/>
        <v>0</v>
      </c>
      <c r="AZ17" s="11">
        <f>'Cash Flows Cumulative'!AZ17</f>
        <v>0</v>
      </c>
      <c r="BA17" s="11"/>
      <c r="BB17" s="11"/>
      <c r="BC17" s="11"/>
      <c r="BD17" s="61">
        <f t="shared" si="10"/>
        <v>0</v>
      </c>
      <c r="BE17" s="11"/>
      <c r="BF17" s="11">
        <f>'Cash Flows Cumulative'!BF17-'Cash Flows Cumulative'!BE17</f>
        <v>0</v>
      </c>
      <c r="BG17" s="11">
        <f>'Cash Flows Cumulative'!BG17-'Cash Flows Cumulative'!BF17</f>
        <v>0</v>
      </c>
      <c r="BH17" s="11"/>
      <c r="BI17" s="61">
        <f t="shared" si="11"/>
        <v>0</v>
      </c>
      <c r="BJ17" s="11"/>
      <c r="BK17" s="11">
        <f>'Cash Flows Cumulative'!BK17-'Cash Flows Cumulative'!BJ17</f>
        <v>0</v>
      </c>
      <c r="BL17" s="11">
        <f>'Cash Flows Cumulative'!BL17-'Cash Flows Cumulative'!BK17</f>
        <v>0</v>
      </c>
      <c r="BM17" s="11"/>
      <c r="BN17" s="61">
        <f t="shared" si="12"/>
        <v>0</v>
      </c>
      <c r="BO17" s="11"/>
      <c r="BP17" s="11">
        <f>'Cash Flows Cumulative'!BP17-'Cash Flows Cumulative'!BO17</f>
        <v>0</v>
      </c>
      <c r="BQ17" s="11">
        <f>'Cash Flows Cumulative'!BQ17-'Cash Flows Cumulative'!BP17</f>
        <v>0</v>
      </c>
      <c r="BR17" s="11"/>
      <c r="BS17" s="61">
        <f t="shared" si="13"/>
        <v>0</v>
      </c>
      <c r="BT17" s="11"/>
      <c r="BU17" s="11">
        <f>'Cash Flows Cumulative'!BU17-'Cash Flows Cumulative'!BT17</f>
        <v>0</v>
      </c>
      <c r="BV17" s="11">
        <f>'Cash Flows Cumulative'!BV17-'Cash Flows Cumulative'!BU17</f>
        <v>0</v>
      </c>
      <c r="BW17" s="11">
        <f>'Cash Flows Cumulative'!BW17-'Cash Flows Cumulative'!BV17</f>
        <v>0</v>
      </c>
      <c r="BX17" s="61">
        <f t="shared" si="14"/>
        <v>0</v>
      </c>
      <c r="BY17" s="11"/>
      <c r="BZ17" s="11">
        <f>'Cash Flows Cumulative'!BZ17-'Cash Flows Cumulative'!BY17</f>
        <v>0</v>
      </c>
      <c r="CA17" s="11">
        <f>'Cash Flows Cumulative'!CA17-'Cash Flows Cumulative'!BZ17</f>
        <v>0</v>
      </c>
      <c r="CB17" s="11">
        <f>'Cash Flows Cumulative'!CB17-'Cash Flows Cumulative'!CA17</f>
        <v>0</v>
      </c>
      <c r="CC17" s="61">
        <f t="shared" si="15"/>
        <v>0</v>
      </c>
      <c r="CD17" s="11"/>
      <c r="CE17" s="103">
        <f>'Cash Flows Cumulative'!CE17-'Cash Flows Cumulative'!CD17</f>
        <v>0</v>
      </c>
      <c r="CF17" s="103">
        <f>'Cash Flows Cumulative'!CF17-'Cash Flows Cumulative'!CE17</f>
        <v>0</v>
      </c>
      <c r="CG17" s="103">
        <f>'Cash Flows Cumulative'!CG17-'Cash Flows Cumulative'!CF17</f>
        <v>0</v>
      </c>
      <c r="CH17" s="61">
        <f t="shared" si="16"/>
        <v>0</v>
      </c>
      <c r="CI17" s="11"/>
      <c r="CJ17" s="11">
        <f>'Cash Flows Cumulative'!CJ17-'Cash Flows Cumulative'!CI17</f>
        <v>0</v>
      </c>
      <c r="CK17" s="11">
        <f>'Cash Flows Cumulative'!CK17-'Cash Flows Cumulative'!CJ17</f>
        <v>0</v>
      </c>
      <c r="CL17" s="11">
        <f>'Cash Flows Cumulative'!CL17-'Cash Flows Cumulative'!CK17</f>
        <v>0</v>
      </c>
      <c r="CM17" s="61">
        <f t="shared" si="17"/>
        <v>0</v>
      </c>
      <c r="CN17" s="11"/>
      <c r="CO17" s="11"/>
      <c r="CP17" s="11"/>
      <c r="CQ17" s="11"/>
      <c r="CR17" s="61">
        <f t="shared" si="18"/>
        <v>0</v>
      </c>
    </row>
    <row r="18" spans="1:96" ht="11.15" customHeight="1" x14ac:dyDescent="0.2">
      <c r="A18" s="26" t="s">
        <v>85</v>
      </c>
      <c r="B18" s="11">
        <f>'Cash Flows Cumulative'!B18</f>
        <v>-2439</v>
      </c>
      <c r="C18" s="11">
        <f>'Cash Flows Cumulative'!C18-'Cash Flows Cumulative'!B18</f>
        <v>-35</v>
      </c>
      <c r="D18" s="11">
        <f>'Cash Flows Cumulative'!D18-'Cash Flows Cumulative'!C18</f>
        <v>-4354</v>
      </c>
      <c r="E18" s="11">
        <f>'Cash Flows Cumulative'!E18-'Cash Flows Cumulative'!D18</f>
        <v>806</v>
      </c>
      <c r="F18" s="61">
        <f t="shared" si="0"/>
        <v>-6022</v>
      </c>
      <c r="G18" s="11">
        <f>'Cash Flows Cumulative'!G18</f>
        <v>-2351</v>
      </c>
      <c r="H18" s="11">
        <f>'Cash Flows Cumulative'!H18-'Cash Flows Cumulative'!G18</f>
        <v>-2300</v>
      </c>
      <c r="I18" s="11">
        <f>'Cash Flows Cumulative'!I18-'Cash Flows Cumulative'!H18</f>
        <v>-5523</v>
      </c>
      <c r="J18" s="11">
        <f>'Cash Flows Cumulative'!J18-'Cash Flows Cumulative'!I18</f>
        <v>-1118</v>
      </c>
      <c r="K18" s="61">
        <f t="shared" si="1"/>
        <v>-11292</v>
      </c>
      <c r="L18" s="11">
        <f>'Cash Flows Cumulative'!L18</f>
        <v>-2188</v>
      </c>
      <c r="M18" s="11">
        <f>'Cash Flows Cumulative'!M18-'Cash Flows Cumulative'!L18</f>
        <v>-658</v>
      </c>
      <c r="N18" s="11">
        <f>'Cash Flows Cumulative'!N18-'Cash Flows Cumulative'!M18</f>
        <v>-3391</v>
      </c>
      <c r="O18" s="11">
        <f>'Cash Flows Cumulative'!O18-'Cash Flows Cumulative'!N18</f>
        <v>-2229</v>
      </c>
      <c r="P18" s="61">
        <f t="shared" si="2"/>
        <v>-8466</v>
      </c>
      <c r="Q18" s="11">
        <f>'Cash Flows Cumulative'!Q18</f>
        <v>10281</v>
      </c>
      <c r="R18" s="11">
        <f>'Cash Flows Cumulative'!R18-'Cash Flows Cumulative'!Q18</f>
        <v>-2084</v>
      </c>
      <c r="S18" s="11">
        <f>'Cash Flows Cumulative'!S18-'Cash Flows Cumulative'!R18</f>
        <v>2533</v>
      </c>
      <c r="T18" s="11">
        <f>'Cash Flows Cumulative'!T18-'Cash Flows Cumulative'!S18</f>
        <v>-1461</v>
      </c>
      <c r="U18" s="61">
        <f t="shared" si="3"/>
        <v>9269</v>
      </c>
      <c r="V18" s="11">
        <f>'Cash Flows Cumulative'!V18</f>
        <v>-897</v>
      </c>
      <c r="W18" s="11">
        <f>'Cash Flows Cumulative'!W18-'Cash Flows Cumulative'!V18</f>
        <v>-11843</v>
      </c>
      <c r="X18" s="11">
        <f>'Cash Flows Cumulative'!X18-'Cash Flows Cumulative'!W18</f>
        <v>-11365</v>
      </c>
      <c r="Y18" s="11">
        <f>'Cash Flows Cumulative'!Y18-'Cash Flows Cumulative'!X18</f>
        <v>-3203</v>
      </c>
      <c r="Z18" s="61">
        <f t="shared" si="4"/>
        <v>-27308</v>
      </c>
      <c r="AA18" s="11">
        <f>'Cash Flows Cumulative'!AA18</f>
        <v>-2086</v>
      </c>
      <c r="AB18" s="11">
        <f>'Cash Flows Cumulative'!AB18-'Cash Flows Cumulative'!AA18</f>
        <v>-14842</v>
      </c>
      <c r="AC18" s="11">
        <f>'Cash Flows Cumulative'!AC18-'Cash Flows Cumulative'!AB18</f>
        <v>-9293</v>
      </c>
      <c r="AD18" s="11">
        <f>'Cash Flows Cumulative'!AD18-'Cash Flows Cumulative'!AC18</f>
        <v>2533</v>
      </c>
      <c r="AE18" s="61">
        <f t="shared" si="5"/>
        <v>-23688</v>
      </c>
      <c r="AF18" s="11">
        <f>'Cash Flows Cumulative'!AF18</f>
        <v>-12203</v>
      </c>
      <c r="AG18" s="11">
        <f>'Cash Flows Cumulative'!AG18-'Cash Flows Cumulative'!AF18</f>
        <v>-1098</v>
      </c>
      <c r="AH18" s="11">
        <f>'Cash Flows Cumulative'!AH18-'Cash Flows Cumulative'!AG18</f>
        <v>-23213</v>
      </c>
      <c r="AI18" s="11">
        <f>'Cash Flows Cumulative'!AI18-'Cash Flows Cumulative'!AH18</f>
        <v>13808</v>
      </c>
      <c r="AJ18" s="61">
        <f t="shared" si="6"/>
        <v>-22706</v>
      </c>
      <c r="AK18" s="11">
        <f>'Cash Flows Cumulative'!AK18</f>
        <v>-8250</v>
      </c>
      <c r="AL18" s="11">
        <f>'Cash Flows Cumulative'!AL18-'Cash Flows Cumulative'!AK18</f>
        <v>-12962</v>
      </c>
      <c r="AM18" s="11">
        <f>'Cash Flows Cumulative'!AM18-'Cash Flows Cumulative'!AL18</f>
        <v>-5730</v>
      </c>
      <c r="AN18" s="11">
        <f>'Cash Flows Cumulative'!AN18-'Cash Flows Cumulative'!AM18</f>
        <v>16951</v>
      </c>
      <c r="AO18" s="61">
        <f t="shared" si="7"/>
        <v>-9991</v>
      </c>
      <c r="AP18" s="11">
        <f>'Cash Flows Cumulative'!AP18</f>
        <v>-4373</v>
      </c>
      <c r="AQ18" s="11">
        <f>'Cash Flows Cumulative'!AQ18-'Cash Flows Cumulative'!AP18</f>
        <v>-16347</v>
      </c>
      <c r="AR18" s="11">
        <f>'Cash Flows Cumulative'!AR18-'Cash Flows Cumulative'!AQ18</f>
        <v>-17206</v>
      </c>
      <c r="AS18" s="11">
        <f>'Cash Flows Cumulative'!AS18-'Cash Flows Cumulative'!AR18</f>
        <v>-10592</v>
      </c>
      <c r="AT18" s="61">
        <f t="shared" si="8"/>
        <v>-48518</v>
      </c>
      <c r="AU18" s="11">
        <f>'Cash Flows Cumulative'!AU18</f>
        <v>-11885</v>
      </c>
      <c r="AV18" s="11">
        <f>'Cash Flows Cumulative'!AV18-'Cash Flows Cumulative'!AU18</f>
        <v>-19863</v>
      </c>
      <c r="AW18" s="11">
        <f>'Cash Flows Cumulative'!AW18-'Cash Flows Cumulative'!AV18</f>
        <v>11744</v>
      </c>
      <c r="AX18" s="11">
        <f>'Cash Flows Cumulative'!AX18-'Cash Flows Cumulative'!AW18</f>
        <v>968</v>
      </c>
      <c r="AY18" s="61">
        <f t="shared" si="9"/>
        <v>-19036</v>
      </c>
      <c r="AZ18" s="11">
        <f>'Cash Flows Cumulative'!AZ18</f>
        <v>8140</v>
      </c>
      <c r="BA18" s="11">
        <f>'Cash Flows Cumulative'!BA18-'Cash Flows Cumulative'!AZ18</f>
        <v>-5255</v>
      </c>
      <c r="BB18" s="11">
        <f>'Cash Flows Cumulative'!BB18-'Cash Flows Cumulative'!BA18</f>
        <v>-13738</v>
      </c>
      <c r="BC18" s="11">
        <f>'Cash Flows Cumulative'!BC18-'Cash Flows Cumulative'!BB18</f>
        <v>-591</v>
      </c>
      <c r="BD18" s="61">
        <f t="shared" si="10"/>
        <v>-11444</v>
      </c>
      <c r="BE18" s="11">
        <f>'Cash Flows Cumulative'!BE18</f>
        <v>-22801</v>
      </c>
      <c r="BF18" s="11">
        <f>'Cash Flows Cumulative'!BF18-'Cash Flows Cumulative'!BE18</f>
        <v>-50833</v>
      </c>
      <c r="BG18" s="11">
        <f>'Cash Flows Cumulative'!BG18-'Cash Flows Cumulative'!BF18</f>
        <v>17218</v>
      </c>
      <c r="BH18" s="11">
        <f>'Cash Flows Cumulative'!BH18-'Cash Flows Cumulative'!BG18</f>
        <v>-6809</v>
      </c>
      <c r="BI18" s="61">
        <f t="shared" si="11"/>
        <v>-63225</v>
      </c>
      <c r="BJ18" s="11">
        <f>'Cash Flows Cumulative'!BJ18</f>
        <v>7942</v>
      </c>
      <c r="BK18" s="11">
        <f>'Cash Flows Cumulative'!BK18-'Cash Flows Cumulative'!BJ18</f>
        <v>-17433</v>
      </c>
      <c r="BL18" s="11">
        <f>'Cash Flows Cumulative'!BL18-'Cash Flows Cumulative'!BK18</f>
        <v>-16567</v>
      </c>
      <c r="BM18" s="11">
        <f>'Cash Flows Cumulative'!BM18-'Cash Flows Cumulative'!BL18</f>
        <v>7244</v>
      </c>
      <c r="BN18" s="61">
        <f t="shared" si="12"/>
        <v>-18814</v>
      </c>
      <c r="BO18" s="11">
        <f>'Cash Flows Cumulative'!BO18</f>
        <v>22853</v>
      </c>
      <c r="BP18" s="11">
        <f>'Cash Flows Cumulative'!BP18-'Cash Flows Cumulative'!BO18</f>
        <v>-43909</v>
      </c>
      <c r="BQ18" s="11">
        <f>'Cash Flows Cumulative'!BQ18-'Cash Flows Cumulative'!BP18</f>
        <v>13494</v>
      </c>
      <c r="BR18" s="11">
        <f>'Cash Flows Cumulative'!BR18-'Cash Flows Cumulative'!BQ18</f>
        <v>17338</v>
      </c>
      <c r="BS18" s="61">
        <f t="shared" si="13"/>
        <v>9776</v>
      </c>
      <c r="BT18" s="11">
        <f>'Cash Flows Cumulative'!BT18</f>
        <v>34492</v>
      </c>
      <c r="BU18" s="11">
        <f>'Cash Flows Cumulative'!BU18-'Cash Flows Cumulative'!BT18</f>
        <v>-1481</v>
      </c>
      <c r="BV18" s="11">
        <f>'Cash Flows Cumulative'!BV18-'Cash Flows Cumulative'!BU18</f>
        <v>-30703</v>
      </c>
      <c r="BW18" s="11">
        <f>'Cash Flows Cumulative'!BW18-'Cash Flows Cumulative'!BV18</f>
        <v>-15330</v>
      </c>
      <c r="BX18" s="61">
        <f t="shared" si="14"/>
        <v>-13022</v>
      </c>
      <c r="BY18" s="11">
        <f>'Cash Flows Cumulative'!BY18</f>
        <v>7360</v>
      </c>
      <c r="BZ18" s="11">
        <f>'Cash Flows Cumulative'!BZ18-'Cash Flows Cumulative'!BY18</f>
        <v>5165</v>
      </c>
      <c r="CA18" s="11">
        <f>'Cash Flows Cumulative'!CA18-'Cash Flows Cumulative'!BZ18</f>
        <v>-24806</v>
      </c>
      <c r="CB18" s="11">
        <f>'Cash Flows Cumulative'!CB18-'Cash Flows Cumulative'!CA18</f>
        <v>10190</v>
      </c>
      <c r="CC18" s="61">
        <f t="shared" si="15"/>
        <v>-2091</v>
      </c>
      <c r="CD18" s="11">
        <f>'Cash Flows Cumulative'!CD18</f>
        <v>2621</v>
      </c>
      <c r="CE18" s="103">
        <f>'Cash Flows Cumulative'!CE18-'Cash Flows Cumulative'!CD18</f>
        <v>-1061</v>
      </c>
      <c r="CF18" s="103">
        <f>'Cash Flows Cumulative'!CF18-'Cash Flows Cumulative'!CE18</f>
        <v>40957</v>
      </c>
      <c r="CG18" s="103">
        <f>'Cash Flows Cumulative'!CG18-'Cash Flows Cumulative'!CF18</f>
        <v>-8417</v>
      </c>
      <c r="CH18" s="61">
        <f t="shared" si="16"/>
        <v>34100</v>
      </c>
      <c r="CI18" s="11">
        <f>'Cash Flows Cumulative'!CI18</f>
        <v>-24642</v>
      </c>
      <c r="CJ18" s="11">
        <f>'Cash Flows Cumulative'!CJ18-'Cash Flows Cumulative'!CI18</f>
        <v>766</v>
      </c>
      <c r="CK18" s="11">
        <f>'Cash Flows Cumulative'!CK18-'Cash Flows Cumulative'!CJ18</f>
        <v>-1150</v>
      </c>
      <c r="CL18" s="11">
        <f>'Cash Flows Cumulative'!CL18-'Cash Flows Cumulative'!CK18</f>
        <v>14631</v>
      </c>
      <c r="CM18" s="61">
        <f t="shared" si="17"/>
        <v>-10395</v>
      </c>
      <c r="CN18" s="11">
        <f>'Cash Flows Cumulative'!CN18</f>
        <v>32305</v>
      </c>
      <c r="CO18" s="11">
        <f>'Cash Flows Cumulative'!CO18-'Cash Flows Cumulative'!CN18</f>
        <v>6155</v>
      </c>
      <c r="CP18" s="11"/>
      <c r="CQ18" s="11"/>
      <c r="CR18" s="61">
        <f t="shared" si="18"/>
        <v>38460</v>
      </c>
    </row>
    <row r="19" spans="1:96" ht="11.15" customHeight="1" x14ac:dyDescent="0.2">
      <c r="A19" s="26" t="s">
        <v>53</v>
      </c>
      <c r="B19" s="11">
        <f>'Cash Flows Cumulative'!B19</f>
        <v>-1106</v>
      </c>
      <c r="C19" s="11">
        <f>'Cash Flows Cumulative'!C19-'Cash Flows Cumulative'!B19</f>
        <v>-5283</v>
      </c>
      <c r="D19" s="11">
        <f>'Cash Flows Cumulative'!D19-'Cash Flows Cumulative'!C19</f>
        <v>-6166</v>
      </c>
      <c r="E19" s="11">
        <f>'Cash Flows Cumulative'!E19-'Cash Flows Cumulative'!D19</f>
        <v>-7329</v>
      </c>
      <c r="F19" s="61">
        <f t="shared" si="0"/>
        <v>-19884</v>
      </c>
      <c r="G19" s="11">
        <f>'Cash Flows Cumulative'!G19</f>
        <v>-3284</v>
      </c>
      <c r="H19" s="11">
        <f>'Cash Flows Cumulative'!H19-'Cash Flows Cumulative'!G19</f>
        <v>-8462</v>
      </c>
      <c r="I19" s="11">
        <f>'Cash Flows Cumulative'!I19-'Cash Flows Cumulative'!H19</f>
        <v>-2853</v>
      </c>
      <c r="J19" s="11">
        <f>'Cash Flows Cumulative'!J19-'Cash Flows Cumulative'!I19</f>
        <v>-706</v>
      </c>
      <c r="K19" s="61">
        <f t="shared" si="1"/>
        <v>-15305</v>
      </c>
      <c r="L19" s="11">
        <f>'Cash Flows Cumulative'!L19</f>
        <v>-7298</v>
      </c>
      <c r="M19" s="11">
        <f>'Cash Flows Cumulative'!M19-'Cash Flows Cumulative'!L19</f>
        <v>-8453</v>
      </c>
      <c r="N19" s="11">
        <f>'Cash Flows Cumulative'!N19-'Cash Flows Cumulative'!M19</f>
        <v>-6085</v>
      </c>
      <c r="O19" s="11">
        <f>'Cash Flows Cumulative'!O19-'Cash Flows Cumulative'!N19</f>
        <v>175</v>
      </c>
      <c r="P19" s="61">
        <f t="shared" si="2"/>
        <v>-21661</v>
      </c>
      <c r="Q19" s="11">
        <f>'Cash Flows Cumulative'!Q19</f>
        <v>859</v>
      </c>
      <c r="R19" s="11">
        <f>'Cash Flows Cumulative'!R19-'Cash Flows Cumulative'!Q19</f>
        <v>827</v>
      </c>
      <c r="S19" s="11">
        <f>'Cash Flows Cumulative'!S19-'Cash Flows Cumulative'!R19</f>
        <v>1158</v>
      </c>
      <c r="T19" s="11">
        <f>'Cash Flows Cumulative'!T19-'Cash Flows Cumulative'!S19</f>
        <v>2756</v>
      </c>
      <c r="U19" s="61">
        <f t="shared" si="3"/>
        <v>5600</v>
      </c>
      <c r="V19" s="11">
        <f>'Cash Flows Cumulative'!V19</f>
        <v>-3349</v>
      </c>
      <c r="W19" s="11">
        <f>'Cash Flows Cumulative'!W19-'Cash Flows Cumulative'!V19</f>
        <v>-6166</v>
      </c>
      <c r="X19" s="11">
        <f>'Cash Flows Cumulative'!X19-'Cash Flows Cumulative'!W19</f>
        <v>-8490</v>
      </c>
      <c r="Y19" s="11">
        <f>'Cash Flows Cumulative'!Y19-'Cash Flows Cumulative'!X19</f>
        <v>-9013</v>
      </c>
      <c r="Z19" s="61">
        <f t="shared" si="4"/>
        <v>-27018</v>
      </c>
      <c r="AA19" s="11">
        <f>'Cash Flows Cumulative'!AA19</f>
        <v>-13720</v>
      </c>
      <c r="AB19" s="11">
        <f>'Cash Flows Cumulative'!AB19-'Cash Flows Cumulative'!AA19</f>
        <v>-21473</v>
      </c>
      <c r="AC19" s="11">
        <f>'Cash Flows Cumulative'!AC19-'Cash Flows Cumulative'!AB19</f>
        <v>-17068</v>
      </c>
      <c r="AD19" s="11">
        <f>'Cash Flows Cumulative'!AD19-'Cash Flows Cumulative'!AC19</f>
        <v>-3878</v>
      </c>
      <c r="AE19" s="61">
        <f t="shared" si="5"/>
        <v>-56139</v>
      </c>
      <c r="AF19" s="11">
        <f>'Cash Flows Cumulative'!AF19</f>
        <v>-4027</v>
      </c>
      <c r="AG19" s="11">
        <f>'Cash Flows Cumulative'!AG19-'Cash Flows Cumulative'!AF19</f>
        <v>-6121</v>
      </c>
      <c r="AH19" s="11">
        <f>'Cash Flows Cumulative'!AH19-'Cash Flows Cumulative'!AG19</f>
        <v>-6902</v>
      </c>
      <c r="AI19" s="11">
        <f>'Cash Flows Cumulative'!AI19-'Cash Flows Cumulative'!AH19</f>
        <v>-5925</v>
      </c>
      <c r="AJ19" s="61">
        <f t="shared" si="6"/>
        <v>-22975</v>
      </c>
      <c r="AK19" s="11">
        <f>'Cash Flows Cumulative'!AK19</f>
        <v>-6984</v>
      </c>
      <c r="AL19" s="11">
        <f>'Cash Flows Cumulative'!AL19-'Cash Flows Cumulative'!AK19</f>
        <v>-16830</v>
      </c>
      <c r="AM19" s="11">
        <f>'Cash Flows Cumulative'!AM19-'Cash Flows Cumulative'!AL19</f>
        <v>-19891</v>
      </c>
      <c r="AN19" s="11">
        <f>'Cash Flows Cumulative'!AN19-'Cash Flows Cumulative'!AM19</f>
        <v>-6650</v>
      </c>
      <c r="AO19" s="61">
        <f t="shared" si="7"/>
        <v>-50355</v>
      </c>
      <c r="AP19" s="11">
        <f>'Cash Flows Cumulative'!AP19</f>
        <v>-3856</v>
      </c>
      <c r="AQ19" s="11">
        <f>'Cash Flows Cumulative'!AQ19-'Cash Flows Cumulative'!AP19</f>
        <v>-11132</v>
      </c>
      <c r="AR19" s="11">
        <f>'Cash Flows Cumulative'!AR19-'Cash Flows Cumulative'!AQ19</f>
        <v>-15232</v>
      </c>
      <c r="AS19" s="11">
        <f>'Cash Flows Cumulative'!AS19-'Cash Flows Cumulative'!AR19</f>
        <v>-12026</v>
      </c>
      <c r="AT19" s="61">
        <f t="shared" si="8"/>
        <v>-42246</v>
      </c>
      <c r="AU19" s="11">
        <f>'Cash Flows Cumulative'!AU19</f>
        <v>-13898</v>
      </c>
      <c r="AV19" s="11">
        <f>'Cash Flows Cumulative'!AV19-'Cash Flows Cumulative'!AU19</f>
        <v>-19313</v>
      </c>
      <c r="AW19" s="11">
        <f>'Cash Flows Cumulative'!AW19-'Cash Flows Cumulative'!AV19</f>
        <v>-18961</v>
      </c>
      <c r="AX19" s="11">
        <f>'Cash Flows Cumulative'!AX19-'Cash Flows Cumulative'!AW19</f>
        <v>-18393</v>
      </c>
      <c r="AY19" s="61">
        <f t="shared" si="9"/>
        <v>-70565</v>
      </c>
      <c r="AZ19" s="11">
        <f>'Cash Flows Cumulative'!AZ19</f>
        <v>-19365</v>
      </c>
      <c r="BA19" s="11">
        <f>'Cash Flows Cumulative'!BA19-'Cash Flows Cumulative'!AZ19</f>
        <v>-15303</v>
      </c>
      <c r="BB19" s="11">
        <f>'Cash Flows Cumulative'!BB19-'Cash Flows Cumulative'!BA19</f>
        <v>-8146</v>
      </c>
      <c r="BC19" s="11">
        <f>'Cash Flows Cumulative'!BC19-'Cash Flows Cumulative'!BB19</f>
        <v>-10812</v>
      </c>
      <c r="BD19" s="61">
        <f t="shared" si="10"/>
        <v>-53626</v>
      </c>
      <c r="BE19" s="11">
        <f>'Cash Flows Cumulative'!BE19</f>
        <v>-22408</v>
      </c>
      <c r="BF19" s="11">
        <f>'Cash Flows Cumulative'!BF19-'Cash Flows Cumulative'!BE19</f>
        <v>-3412</v>
      </c>
      <c r="BG19" s="11">
        <f>'Cash Flows Cumulative'!BG19-'Cash Flows Cumulative'!BF19</f>
        <v>-13877</v>
      </c>
      <c r="BH19" s="11">
        <f>'Cash Flows Cumulative'!BH19-'Cash Flows Cumulative'!BG19</f>
        <v>-31383</v>
      </c>
      <c r="BI19" s="61">
        <f t="shared" si="11"/>
        <v>-71080</v>
      </c>
      <c r="BJ19" s="11">
        <f>'Cash Flows Cumulative'!BJ19</f>
        <v>-49744</v>
      </c>
      <c r="BK19" s="11">
        <f>'Cash Flows Cumulative'!BK19-'Cash Flows Cumulative'!BJ19</f>
        <v>-41270</v>
      </c>
      <c r="BL19" s="11">
        <f>'Cash Flows Cumulative'!BL19-'Cash Flows Cumulative'!BK19</f>
        <v>-31037</v>
      </c>
      <c r="BM19" s="11">
        <f>'Cash Flows Cumulative'!BM19-'Cash Flows Cumulative'!BL19</f>
        <v>-13389</v>
      </c>
      <c r="BN19" s="61">
        <f t="shared" si="12"/>
        <v>-135440</v>
      </c>
      <c r="BO19" s="11">
        <f>'Cash Flows Cumulative'!BO19</f>
        <v>-19719</v>
      </c>
      <c r="BP19" s="11">
        <f>'Cash Flows Cumulative'!BP19-'Cash Flows Cumulative'!BO19</f>
        <v>-21070</v>
      </c>
      <c r="BQ19" s="11">
        <f>'Cash Flows Cumulative'!BQ19-'Cash Flows Cumulative'!BP19</f>
        <v>-10243</v>
      </c>
      <c r="BR19" s="11">
        <f>'Cash Flows Cumulative'!BR19-'Cash Flows Cumulative'!BQ19</f>
        <v>22927</v>
      </c>
      <c r="BS19" s="61">
        <f t="shared" si="13"/>
        <v>-28105</v>
      </c>
      <c r="BT19" s="11">
        <f>'Cash Flows Cumulative'!BT19</f>
        <v>-10429</v>
      </c>
      <c r="BU19" s="11">
        <f>'Cash Flows Cumulative'!BU19-'Cash Flows Cumulative'!BT19</f>
        <v>-4731</v>
      </c>
      <c r="BV19" s="11">
        <f>'Cash Flows Cumulative'!BV19-'Cash Flows Cumulative'!BU19</f>
        <v>-19053</v>
      </c>
      <c r="BW19" s="11">
        <f>'Cash Flows Cumulative'!BW19-'Cash Flows Cumulative'!BV19</f>
        <v>-5687</v>
      </c>
      <c r="BX19" s="61">
        <f t="shared" si="14"/>
        <v>-39900</v>
      </c>
      <c r="BY19" s="11">
        <f>'Cash Flows Cumulative'!BY19</f>
        <v>-20084</v>
      </c>
      <c r="BZ19" s="11">
        <f>'Cash Flows Cumulative'!BZ19-'Cash Flows Cumulative'!BY19</f>
        <v>-41136</v>
      </c>
      <c r="CA19" s="11">
        <f>'Cash Flows Cumulative'!CA19-'Cash Flows Cumulative'!BZ19</f>
        <v>-44164</v>
      </c>
      <c r="CB19" s="11">
        <f>'Cash Flows Cumulative'!CB19-'Cash Flows Cumulative'!CA19</f>
        <v>-44370</v>
      </c>
      <c r="CC19" s="61">
        <f t="shared" si="15"/>
        <v>-149754</v>
      </c>
      <c r="CD19" s="11">
        <f>'Cash Flows Cumulative'!CD19</f>
        <v>-50951</v>
      </c>
      <c r="CE19" s="103">
        <f>'Cash Flows Cumulative'!CE19-'Cash Flows Cumulative'!CD19</f>
        <v>-48282</v>
      </c>
      <c r="CF19" s="103">
        <f>'Cash Flows Cumulative'!CF19-'Cash Flows Cumulative'!CE19</f>
        <v>-49726</v>
      </c>
      <c r="CG19" s="103">
        <f>'Cash Flows Cumulative'!CG19-'Cash Flows Cumulative'!CF19</f>
        <v>-40054</v>
      </c>
      <c r="CH19" s="61">
        <f t="shared" si="16"/>
        <v>-189013</v>
      </c>
      <c r="CI19" s="11">
        <f>'Cash Flows Cumulative'!CI19</f>
        <v>-8989</v>
      </c>
      <c r="CJ19" s="11">
        <f>'Cash Flows Cumulative'!CJ19-'Cash Flows Cumulative'!CI19</f>
        <v>-3114</v>
      </c>
      <c r="CK19" s="11">
        <f>'Cash Flows Cumulative'!CK19-'Cash Flows Cumulative'!CJ19</f>
        <v>-8633</v>
      </c>
      <c r="CL19" s="11">
        <f>'Cash Flows Cumulative'!CL19-'Cash Flows Cumulative'!CK19</f>
        <v>22559</v>
      </c>
      <c r="CM19" s="61">
        <f t="shared" si="17"/>
        <v>1823</v>
      </c>
      <c r="CN19" s="11">
        <f>'Cash Flows Cumulative'!CN19</f>
        <v>1498</v>
      </c>
      <c r="CO19" s="11">
        <f>'Cash Flows Cumulative'!CO19-'Cash Flows Cumulative'!CN19</f>
        <v>15543</v>
      </c>
      <c r="CP19" s="11"/>
      <c r="CQ19" s="11"/>
      <c r="CR19" s="61">
        <f t="shared" si="18"/>
        <v>17041</v>
      </c>
    </row>
    <row r="20" spans="1:96" ht="11.15" customHeight="1" x14ac:dyDescent="0.2">
      <c r="A20" s="26" t="s">
        <v>26</v>
      </c>
      <c r="B20" s="11">
        <f>'Cash Flows Cumulative'!B20</f>
        <v>-690</v>
      </c>
      <c r="C20" s="11">
        <f>'Cash Flows Cumulative'!C20-'Cash Flows Cumulative'!B20</f>
        <v>-561</v>
      </c>
      <c r="D20" s="11">
        <f>'Cash Flows Cumulative'!D20-'Cash Flows Cumulative'!C20</f>
        <v>-237</v>
      </c>
      <c r="E20" s="11">
        <f>'Cash Flows Cumulative'!E20-'Cash Flows Cumulative'!D20</f>
        <v>340</v>
      </c>
      <c r="F20" s="61">
        <f t="shared" si="0"/>
        <v>-1148</v>
      </c>
      <c r="G20" s="11">
        <f>'Cash Flows Cumulative'!G20</f>
        <v>-3218</v>
      </c>
      <c r="H20" s="11">
        <f>'Cash Flows Cumulative'!H20-'Cash Flows Cumulative'!G20</f>
        <v>598</v>
      </c>
      <c r="I20" s="11">
        <f>'Cash Flows Cumulative'!I20-'Cash Flows Cumulative'!H20</f>
        <v>-4500</v>
      </c>
      <c r="J20" s="11">
        <f>'Cash Flows Cumulative'!J20-'Cash Flows Cumulative'!I20</f>
        <v>364</v>
      </c>
      <c r="K20" s="61">
        <f t="shared" si="1"/>
        <v>-6756</v>
      </c>
      <c r="L20" s="11">
        <f>'Cash Flows Cumulative'!L20</f>
        <v>618</v>
      </c>
      <c r="M20" s="11">
        <f>'Cash Flows Cumulative'!M20-'Cash Flows Cumulative'!L20</f>
        <v>414</v>
      </c>
      <c r="N20" s="11">
        <f>'Cash Flows Cumulative'!N20-'Cash Flows Cumulative'!M20</f>
        <v>2498</v>
      </c>
      <c r="O20" s="11">
        <f>'Cash Flows Cumulative'!O20-'Cash Flows Cumulative'!N20</f>
        <v>3280</v>
      </c>
      <c r="P20" s="61">
        <f t="shared" si="2"/>
        <v>6810</v>
      </c>
      <c r="Q20" s="11">
        <f>'Cash Flows Cumulative'!Q20</f>
        <v>-1626</v>
      </c>
      <c r="R20" s="11">
        <f>'Cash Flows Cumulative'!R20-'Cash Flows Cumulative'!Q20</f>
        <v>2024</v>
      </c>
      <c r="S20" s="11">
        <f>'Cash Flows Cumulative'!S20-'Cash Flows Cumulative'!R20</f>
        <v>-662</v>
      </c>
      <c r="T20" s="11">
        <f>'Cash Flows Cumulative'!T20-'Cash Flows Cumulative'!S20</f>
        <v>943</v>
      </c>
      <c r="U20" s="61">
        <f t="shared" si="3"/>
        <v>679</v>
      </c>
      <c r="V20" s="11">
        <f>'Cash Flows Cumulative'!V20</f>
        <v>38</v>
      </c>
      <c r="W20" s="11">
        <f>'Cash Flows Cumulative'!W20-'Cash Flows Cumulative'!V20</f>
        <v>353</v>
      </c>
      <c r="X20" s="11">
        <f>'Cash Flows Cumulative'!X20-'Cash Flows Cumulative'!W20</f>
        <v>-1360</v>
      </c>
      <c r="Y20" s="11">
        <f>'Cash Flows Cumulative'!Y20-'Cash Flows Cumulative'!X20</f>
        <v>-3738</v>
      </c>
      <c r="Z20" s="61">
        <f t="shared" si="4"/>
        <v>-4707</v>
      </c>
      <c r="AA20" s="11">
        <f>'Cash Flows Cumulative'!AA20</f>
        <v>-4610</v>
      </c>
      <c r="AB20" s="11">
        <f>'Cash Flows Cumulative'!AB20-'Cash Flows Cumulative'!AA20</f>
        <v>55</v>
      </c>
      <c r="AC20" s="11">
        <f>'Cash Flows Cumulative'!AC20-'Cash Flows Cumulative'!AB20</f>
        <v>2807</v>
      </c>
      <c r="AD20" s="11">
        <f>'Cash Flows Cumulative'!AD20-'Cash Flows Cumulative'!AC20</f>
        <v>978</v>
      </c>
      <c r="AE20" s="61">
        <f t="shared" si="5"/>
        <v>-770</v>
      </c>
      <c r="AF20" s="11">
        <f>'Cash Flows Cumulative'!AF20</f>
        <v>-2395</v>
      </c>
      <c r="AG20" s="11">
        <f>'Cash Flows Cumulative'!AG20-'Cash Flows Cumulative'!AF20</f>
        <v>1099</v>
      </c>
      <c r="AH20" s="11">
        <f>'Cash Flows Cumulative'!AH20-'Cash Flows Cumulative'!AG20</f>
        <v>-2039</v>
      </c>
      <c r="AI20" s="11">
        <f>'Cash Flows Cumulative'!AI20-'Cash Flows Cumulative'!AH20</f>
        <v>2436</v>
      </c>
      <c r="AJ20" s="61">
        <f t="shared" si="6"/>
        <v>-899</v>
      </c>
      <c r="AK20" s="11">
        <f>'Cash Flows Cumulative'!AK20</f>
        <v>-2212</v>
      </c>
      <c r="AL20" s="11">
        <f>'Cash Flows Cumulative'!AL20-'Cash Flows Cumulative'!AK20</f>
        <v>709</v>
      </c>
      <c r="AM20" s="11">
        <f>'Cash Flows Cumulative'!AM20-'Cash Flows Cumulative'!AL20</f>
        <v>-1975</v>
      </c>
      <c r="AN20" s="11">
        <f>'Cash Flows Cumulative'!AN20-'Cash Flows Cumulative'!AM20</f>
        <v>-502</v>
      </c>
      <c r="AO20" s="61">
        <f t="shared" si="7"/>
        <v>-3980</v>
      </c>
      <c r="AP20" s="11">
        <f>'Cash Flows Cumulative'!AP20</f>
        <v>-4731</v>
      </c>
      <c r="AQ20" s="11">
        <f>'Cash Flows Cumulative'!AQ20-'Cash Flows Cumulative'!AP20</f>
        <v>5167</v>
      </c>
      <c r="AR20" s="11">
        <f>'Cash Flows Cumulative'!AR20-'Cash Flows Cumulative'!AQ20</f>
        <v>-234</v>
      </c>
      <c r="AS20" s="11">
        <f>'Cash Flows Cumulative'!AS20-'Cash Flows Cumulative'!AR20</f>
        <v>-5553</v>
      </c>
      <c r="AT20" s="61">
        <f t="shared" si="8"/>
        <v>-5351</v>
      </c>
      <c r="AU20" s="11">
        <f>'Cash Flows Cumulative'!AU20</f>
        <v>-723</v>
      </c>
      <c r="AV20" s="11">
        <f>'Cash Flows Cumulative'!AV20-'Cash Flows Cumulative'!AU20</f>
        <v>2668</v>
      </c>
      <c r="AW20" s="11">
        <f>'Cash Flows Cumulative'!AW20-'Cash Flows Cumulative'!AV20</f>
        <v>117</v>
      </c>
      <c r="AX20" s="11">
        <f>'Cash Flows Cumulative'!AX20-'Cash Flows Cumulative'!AW20</f>
        <v>-209</v>
      </c>
      <c r="AY20" s="61">
        <f t="shared" si="9"/>
        <v>1853</v>
      </c>
      <c r="AZ20" s="11">
        <f>'Cash Flows Cumulative'!AZ20</f>
        <v>-178</v>
      </c>
      <c r="BA20" s="11">
        <f>'Cash Flows Cumulative'!BA20-'Cash Flows Cumulative'!AZ20</f>
        <v>-474</v>
      </c>
      <c r="BB20" s="11">
        <f>'Cash Flows Cumulative'!BB20-'Cash Flows Cumulative'!BA20</f>
        <v>-3450</v>
      </c>
      <c r="BC20" s="11">
        <f>'Cash Flows Cumulative'!BC20-'Cash Flows Cumulative'!BB20</f>
        <v>33</v>
      </c>
      <c r="BD20" s="61">
        <f t="shared" si="10"/>
        <v>-4069</v>
      </c>
      <c r="BE20" s="11">
        <f>'Cash Flows Cumulative'!BE20</f>
        <v>-3972</v>
      </c>
      <c r="BF20" s="11">
        <f>'Cash Flows Cumulative'!BF20-'Cash Flows Cumulative'!BE20</f>
        <v>1204</v>
      </c>
      <c r="BG20" s="11">
        <f>'Cash Flows Cumulative'!BG20-'Cash Flows Cumulative'!BF20</f>
        <v>1208</v>
      </c>
      <c r="BH20" s="11">
        <f>'Cash Flows Cumulative'!BH20-'Cash Flows Cumulative'!BG20</f>
        <v>649</v>
      </c>
      <c r="BI20" s="61">
        <f t="shared" si="11"/>
        <v>-911</v>
      </c>
      <c r="BJ20" s="11">
        <f>'Cash Flows Cumulative'!BJ20</f>
        <v>-2138</v>
      </c>
      <c r="BK20" s="11">
        <f>'Cash Flows Cumulative'!BK20-'Cash Flows Cumulative'!BJ20</f>
        <v>147</v>
      </c>
      <c r="BL20" s="11">
        <f>'Cash Flows Cumulative'!BL20-'Cash Flows Cumulative'!BK20</f>
        <v>-2934</v>
      </c>
      <c r="BM20" s="11">
        <f>'Cash Flows Cumulative'!BM20-'Cash Flows Cumulative'!BL20</f>
        <v>-2137</v>
      </c>
      <c r="BN20" s="61">
        <f t="shared" si="12"/>
        <v>-7062</v>
      </c>
      <c r="BO20" s="11">
        <f>'Cash Flows Cumulative'!BO20</f>
        <v>1284</v>
      </c>
      <c r="BP20" s="11">
        <f>'Cash Flows Cumulative'!BP20-'Cash Flows Cumulative'!BO20</f>
        <v>7332</v>
      </c>
      <c r="BQ20" s="11">
        <f>'Cash Flows Cumulative'!BQ20-'Cash Flows Cumulative'!BP20</f>
        <v>2471</v>
      </c>
      <c r="BR20" s="11">
        <f>'Cash Flows Cumulative'!BR20-'Cash Flows Cumulative'!BQ20</f>
        <v>7318</v>
      </c>
      <c r="BS20" s="61">
        <f t="shared" si="13"/>
        <v>18405</v>
      </c>
      <c r="BT20" s="11">
        <f>'Cash Flows Cumulative'!BT20</f>
        <v>-9119</v>
      </c>
      <c r="BU20" s="11">
        <f>'Cash Flows Cumulative'!BU20-'Cash Flows Cumulative'!BT20</f>
        <v>6926</v>
      </c>
      <c r="BV20" s="11">
        <f>'Cash Flows Cumulative'!BV20-'Cash Flows Cumulative'!BU20</f>
        <v>128</v>
      </c>
      <c r="BW20" s="11">
        <f>'Cash Flows Cumulative'!BW20-'Cash Flows Cumulative'!BV20</f>
        <v>-1737</v>
      </c>
      <c r="BX20" s="61">
        <f t="shared" si="14"/>
        <v>-3802</v>
      </c>
      <c r="BY20" s="11">
        <f>'Cash Flows Cumulative'!BY20</f>
        <v>-1052</v>
      </c>
      <c r="BZ20" s="11">
        <f>'Cash Flows Cumulative'!BZ20-'Cash Flows Cumulative'!BY20</f>
        <v>-1135</v>
      </c>
      <c r="CA20" s="11">
        <f>'Cash Flows Cumulative'!CA20-'Cash Flows Cumulative'!BZ20</f>
        <v>-6636</v>
      </c>
      <c r="CB20" s="11">
        <f>'Cash Flows Cumulative'!CB20-'Cash Flows Cumulative'!CA20</f>
        <v>-14874</v>
      </c>
      <c r="CC20" s="61">
        <f t="shared" si="15"/>
        <v>-23697</v>
      </c>
      <c r="CD20" s="11">
        <f>'Cash Flows Cumulative'!CD20</f>
        <v>3052</v>
      </c>
      <c r="CE20" s="103">
        <f>'Cash Flows Cumulative'!CE20-'Cash Flows Cumulative'!CD20</f>
        <v>1870</v>
      </c>
      <c r="CF20" s="103">
        <f>'Cash Flows Cumulative'!CF20-'Cash Flows Cumulative'!CE20</f>
        <v>1662</v>
      </c>
      <c r="CG20" s="103">
        <f>'Cash Flows Cumulative'!CG20-'Cash Flows Cumulative'!CF20</f>
        <v>15961</v>
      </c>
      <c r="CH20" s="61">
        <f t="shared" si="16"/>
        <v>22545</v>
      </c>
      <c r="CI20" s="11">
        <f>'Cash Flows Cumulative'!CI20</f>
        <v>-10419</v>
      </c>
      <c r="CJ20" s="11">
        <f>'Cash Flows Cumulative'!CJ20-'Cash Flows Cumulative'!CI20</f>
        <v>-5061</v>
      </c>
      <c r="CK20" s="11">
        <f>'Cash Flows Cumulative'!CK20-'Cash Flows Cumulative'!CJ20</f>
        <v>9976</v>
      </c>
      <c r="CL20" s="11">
        <f>'Cash Flows Cumulative'!CL20-'Cash Flows Cumulative'!CK20</f>
        <v>3479</v>
      </c>
      <c r="CM20" s="61">
        <f t="shared" si="17"/>
        <v>-2025</v>
      </c>
      <c r="CN20" s="11">
        <f>'Cash Flows Cumulative'!CN20</f>
        <v>-7343</v>
      </c>
      <c r="CO20" s="11">
        <f>'Cash Flows Cumulative'!CO20-'Cash Flows Cumulative'!CN20</f>
        <v>200</v>
      </c>
      <c r="CP20" s="11"/>
      <c r="CQ20" s="11"/>
      <c r="CR20" s="61">
        <f t="shared" si="18"/>
        <v>-7143</v>
      </c>
    </row>
    <row r="21" spans="1:96" ht="11.15" customHeight="1" x14ac:dyDescent="0.2">
      <c r="A21" s="26" t="s">
        <v>27</v>
      </c>
      <c r="B21" s="11">
        <f>'Cash Flows Cumulative'!B21</f>
        <v>387</v>
      </c>
      <c r="C21" s="11">
        <f>'Cash Flows Cumulative'!C21-'Cash Flows Cumulative'!B21</f>
        <v>291</v>
      </c>
      <c r="D21" s="11">
        <f>'Cash Flows Cumulative'!D21-'Cash Flows Cumulative'!C21</f>
        <v>582</v>
      </c>
      <c r="E21" s="11">
        <f>'Cash Flows Cumulative'!E21-'Cash Flows Cumulative'!D21</f>
        <v>-918</v>
      </c>
      <c r="F21" s="61">
        <f t="shared" si="0"/>
        <v>342</v>
      </c>
      <c r="G21" s="11">
        <f>'Cash Flows Cumulative'!G21</f>
        <v>-93</v>
      </c>
      <c r="H21" s="11">
        <f>'Cash Flows Cumulative'!H21-'Cash Flows Cumulative'!G21</f>
        <v>2933</v>
      </c>
      <c r="I21" s="11">
        <f>'Cash Flows Cumulative'!I21-'Cash Flows Cumulative'!H21</f>
        <v>-1821</v>
      </c>
      <c r="J21" s="11">
        <f>'Cash Flows Cumulative'!J21-'Cash Flows Cumulative'!I21</f>
        <v>67</v>
      </c>
      <c r="K21" s="61">
        <f t="shared" si="1"/>
        <v>1086</v>
      </c>
      <c r="L21" s="11">
        <f>'Cash Flows Cumulative'!L21</f>
        <v>798</v>
      </c>
      <c r="M21" s="11">
        <f>'Cash Flows Cumulative'!M21-'Cash Flows Cumulative'!L21</f>
        <v>-1267</v>
      </c>
      <c r="N21" s="11">
        <f>'Cash Flows Cumulative'!N21-'Cash Flows Cumulative'!M21</f>
        <v>988</v>
      </c>
      <c r="O21" s="11">
        <f>'Cash Flows Cumulative'!O21-'Cash Flows Cumulative'!N21</f>
        <v>-2786</v>
      </c>
      <c r="P21" s="61">
        <f t="shared" si="2"/>
        <v>-2267</v>
      </c>
      <c r="Q21" s="11">
        <f>'Cash Flows Cumulative'!Q21</f>
        <v>-1156</v>
      </c>
      <c r="R21" s="11">
        <f>'Cash Flows Cumulative'!R21-'Cash Flows Cumulative'!Q21</f>
        <v>821</v>
      </c>
      <c r="S21" s="11">
        <f>'Cash Flows Cumulative'!S21-'Cash Flows Cumulative'!R21</f>
        <v>-1146</v>
      </c>
      <c r="T21" s="11">
        <f>'Cash Flows Cumulative'!T21-'Cash Flows Cumulative'!S21</f>
        <v>983</v>
      </c>
      <c r="U21" s="61">
        <f t="shared" si="3"/>
        <v>-498</v>
      </c>
      <c r="V21" s="11">
        <f>'Cash Flows Cumulative'!V21</f>
        <v>-399</v>
      </c>
      <c r="W21" s="11">
        <f>'Cash Flows Cumulative'!W21-'Cash Flows Cumulative'!V21</f>
        <v>4590</v>
      </c>
      <c r="X21" s="11">
        <f>'Cash Flows Cumulative'!X21-'Cash Flows Cumulative'!W21</f>
        <v>-721</v>
      </c>
      <c r="Y21" s="11">
        <f>'Cash Flows Cumulative'!Y21-'Cash Flows Cumulative'!X21</f>
        <v>-59</v>
      </c>
      <c r="Z21" s="61">
        <f t="shared" si="4"/>
        <v>3411</v>
      </c>
      <c r="AA21" s="11">
        <f>'Cash Flows Cumulative'!AA21</f>
        <v>3129</v>
      </c>
      <c r="AB21" s="11">
        <f>'Cash Flows Cumulative'!AB21-'Cash Flows Cumulative'!AA21</f>
        <v>1759</v>
      </c>
      <c r="AC21" s="11">
        <f>'Cash Flows Cumulative'!AC21-'Cash Flows Cumulative'!AB21</f>
        <v>587</v>
      </c>
      <c r="AD21" s="11">
        <f>'Cash Flows Cumulative'!AD21-'Cash Flows Cumulative'!AC21</f>
        <v>-3490</v>
      </c>
      <c r="AE21" s="61">
        <f t="shared" si="5"/>
        <v>1985</v>
      </c>
      <c r="AF21" s="11">
        <f>'Cash Flows Cumulative'!AF21</f>
        <v>702</v>
      </c>
      <c r="AG21" s="11">
        <f>'Cash Flows Cumulative'!AG21-'Cash Flows Cumulative'!AF21</f>
        <v>1482</v>
      </c>
      <c r="AH21" s="11">
        <f>'Cash Flows Cumulative'!AH21-'Cash Flows Cumulative'!AG21</f>
        <v>-14</v>
      </c>
      <c r="AI21" s="11">
        <f>'Cash Flows Cumulative'!AI21-'Cash Flows Cumulative'!AH21</f>
        <v>2205</v>
      </c>
      <c r="AJ21" s="61">
        <f t="shared" si="6"/>
        <v>4375</v>
      </c>
      <c r="AK21" s="11">
        <f>'Cash Flows Cumulative'!AK21</f>
        <v>-1936</v>
      </c>
      <c r="AL21" s="11">
        <f>'Cash Flows Cumulative'!AL21-'Cash Flows Cumulative'!AK21</f>
        <v>4444</v>
      </c>
      <c r="AM21" s="11">
        <f>'Cash Flows Cumulative'!AM21-'Cash Flows Cumulative'!AL21</f>
        <v>-4516</v>
      </c>
      <c r="AN21" s="11">
        <f>'Cash Flows Cumulative'!AN21-'Cash Flows Cumulative'!AM21</f>
        <v>2982</v>
      </c>
      <c r="AO21" s="61">
        <f t="shared" si="7"/>
        <v>974</v>
      </c>
      <c r="AP21" s="11">
        <f>'Cash Flows Cumulative'!AP21</f>
        <v>516</v>
      </c>
      <c r="AQ21" s="11">
        <f>'Cash Flows Cumulative'!AQ21-'Cash Flows Cumulative'!AP21</f>
        <v>-3200</v>
      </c>
      <c r="AR21" s="11">
        <f>'Cash Flows Cumulative'!AR21-'Cash Flows Cumulative'!AQ21</f>
        <v>4008</v>
      </c>
      <c r="AS21" s="11">
        <f>'Cash Flows Cumulative'!AS21-'Cash Flows Cumulative'!AR21</f>
        <v>1938</v>
      </c>
      <c r="AT21" s="61">
        <f t="shared" si="8"/>
        <v>3262</v>
      </c>
      <c r="AU21" s="11">
        <f>'Cash Flows Cumulative'!AU21</f>
        <v>-1231</v>
      </c>
      <c r="AV21" s="11">
        <f>'Cash Flows Cumulative'!AV21-'Cash Flows Cumulative'!AU21</f>
        <v>5653</v>
      </c>
      <c r="AW21" s="11">
        <f>'Cash Flows Cumulative'!AW21-'Cash Flows Cumulative'!AV21</f>
        <v>97</v>
      </c>
      <c r="AX21" s="11">
        <f>'Cash Flows Cumulative'!AX21-'Cash Flows Cumulative'!AW21</f>
        <v>5287</v>
      </c>
      <c r="AY21" s="61">
        <f t="shared" si="9"/>
        <v>9806</v>
      </c>
      <c r="AZ21" s="11">
        <f>'Cash Flows Cumulative'!AZ21</f>
        <v>-6749</v>
      </c>
      <c r="BA21" s="11">
        <f>'Cash Flows Cumulative'!BA21-'Cash Flows Cumulative'!AZ21</f>
        <v>-1692</v>
      </c>
      <c r="BB21" s="11">
        <f>'Cash Flows Cumulative'!BB21-'Cash Flows Cumulative'!BA21</f>
        <v>-1375</v>
      </c>
      <c r="BC21" s="11">
        <f>'Cash Flows Cumulative'!BC21-'Cash Flows Cumulative'!BB21</f>
        <v>9409</v>
      </c>
      <c r="BD21" s="61">
        <f t="shared" si="10"/>
        <v>-407</v>
      </c>
      <c r="BE21" s="11">
        <f>'Cash Flows Cumulative'!BE21</f>
        <v>-1560</v>
      </c>
      <c r="BF21" s="11">
        <f>'Cash Flows Cumulative'!BF21-'Cash Flows Cumulative'!BE21</f>
        <v>3474</v>
      </c>
      <c r="BG21" s="11">
        <f>'Cash Flows Cumulative'!BG21-'Cash Flows Cumulative'!BF21</f>
        <v>1509</v>
      </c>
      <c r="BH21" s="11">
        <f>'Cash Flows Cumulative'!BH21-'Cash Flows Cumulative'!BG21</f>
        <v>-1114</v>
      </c>
      <c r="BI21" s="61">
        <f t="shared" si="11"/>
        <v>2309</v>
      </c>
      <c r="BJ21" s="11">
        <f>'Cash Flows Cumulative'!BJ21</f>
        <v>1134</v>
      </c>
      <c r="BK21" s="11">
        <f>'Cash Flows Cumulative'!BK21-'Cash Flows Cumulative'!BJ21</f>
        <v>8393</v>
      </c>
      <c r="BL21" s="11">
        <f>'Cash Flows Cumulative'!BL21-'Cash Flows Cumulative'!BK21</f>
        <v>-10846</v>
      </c>
      <c r="BM21" s="11">
        <f>'Cash Flows Cumulative'!BM21-'Cash Flows Cumulative'!BL21</f>
        <v>-107</v>
      </c>
      <c r="BN21" s="61">
        <f t="shared" si="12"/>
        <v>-1426</v>
      </c>
      <c r="BO21" s="11">
        <f>'Cash Flows Cumulative'!BO21</f>
        <v>1955</v>
      </c>
      <c r="BP21" s="11">
        <f>'Cash Flows Cumulative'!BP21-'Cash Flows Cumulative'!BO21</f>
        <v>-2400</v>
      </c>
      <c r="BQ21" s="11">
        <f>'Cash Flows Cumulative'!BQ21-'Cash Flows Cumulative'!BP21</f>
        <v>-7692</v>
      </c>
      <c r="BR21" s="11">
        <f>'Cash Flows Cumulative'!BR21-'Cash Flows Cumulative'!BQ21</f>
        <v>-2120</v>
      </c>
      <c r="BS21" s="61">
        <f t="shared" si="13"/>
        <v>-10257</v>
      </c>
      <c r="BT21" s="11">
        <f>'Cash Flows Cumulative'!BT21</f>
        <v>6054</v>
      </c>
      <c r="BU21" s="11">
        <f>'Cash Flows Cumulative'!BU21-'Cash Flows Cumulative'!BT21</f>
        <v>7191</v>
      </c>
      <c r="BV21" s="11">
        <f>'Cash Flows Cumulative'!BV21-'Cash Flows Cumulative'!BU21</f>
        <v>-4426</v>
      </c>
      <c r="BW21" s="11">
        <f>'Cash Flows Cumulative'!BW21-'Cash Flows Cumulative'!BV21</f>
        <v>-10761</v>
      </c>
      <c r="BX21" s="61">
        <f t="shared" si="14"/>
        <v>-1942</v>
      </c>
      <c r="BY21" s="11">
        <f>'Cash Flows Cumulative'!BY21</f>
        <v>18980</v>
      </c>
      <c r="BZ21" s="11">
        <f>'Cash Flows Cumulative'!BZ21-'Cash Flows Cumulative'!BY21</f>
        <v>5899</v>
      </c>
      <c r="CA21" s="11">
        <f>'Cash Flows Cumulative'!CA21-'Cash Flows Cumulative'!BZ21</f>
        <v>1417</v>
      </c>
      <c r="CB21" s="11">
        <f>'Cash Flows Cumulative'!CB21-'Cash Flows Cumulative'!CA21</f>
        <v>4701</v>
      </c>
      <c r="CC21" s="61">
        <f t="shared" si="15"/>
        <v>30997</v>
      </c>
      <c r="CD21" s="11">
        <f>'Cash Flows Cumulative'!CD21</f>
        <v>-8448</v>
      </c>
      <c r="CE21" s="103">
        <f>'Cash Flows Cumulative'!CE21-'Cash Flows Cumulative'!CD21</f>
        <v>11579</v>
      </c>
      <c r="CF21" s="103">
        <f>'Cash Flows Cumulative'!CF21-'Cash Flows Cumulative'!CE21</f>
        <v>-5968</v>
      </c>
      <c r="CG21" s="103">
        <f>'Cash Flows Cumulative'!CG21-'Cash Flows Cumulative'!CF21</f>
        <v>-9337</v>
      </c>
      <c r="CH21" s="61">
        <f t="shared" si="16"/>
        <v>-12174</v>
      </c>
      <c r="CI21" s="11">
        <f>'Cash Flows Cumulative'!CI21</f>
        <v>-4600</v>
      </c>
      <c r="CJ21" s="11">
        <f>'Cash Flows Cumulative'!CJ21-'Cash Flows Cumulative'!CI21</f>
        <v>-2872</v>
      </c>
      <c r="CK21" s="11">
        <f>'Cash Flows Cumulative'!CK21-'Cash Flows Cumulative'!CJ21</f>
        <v>-2759</v>
      </c>
      <c r="CL21" s="11">
        <f>'Cash Flows Cumulative'!CL21-'Cash Flows Cumulative'!CK21</f>
        <v>-6088</v>
      </c>
      <c r="CM21" s="61">
        <f t="shared" si="17"/>
        <v>-16319</v>
      </c>
      <c r="CN21" s="11">
        <f>'Cash Flows Cumulative'!CN21</f>
        <v>274</v>
      </c>
      <c r="CO21" s="11">
        <f>'Cash Flows Cumulative'!CO21-'Cash Flows Cumulative'!CN21</f>
        <v>1002</v>
      </c>
      <c r="CP21" s="11"/>
      <c r="CQ21" s="11"/>
      <c r="CR21" s="61">
        <f t="shared" si="18"/>
        <v>1276</v>
      </c>
    </row>
    <row r="22" spans="1:96" ht="11.15" customHeight="1" x14ac:dyDescent="0.2">
      <c r="A22" s="26" t="s">
        <v>57</v>
      </c>
      <c r="B22" s="11">
        <f>'Cash Flows Cumulative'!B22</f>
        <v>2163</v>
      </c>
      <c r="C22" s="11">
        <f>'Cash Flows Cumulative'!C22-'Cash Flows Cumulative'!B22</f>
        <v>-1187</v>
      </c>
      <c r="D22" s="11">
        <f>'Cash Flows Cumulative'!D22-'Cash Flows Cumulative'!C22</f>
        <v>-3235</v>
      </c>
      <c r="E22" s="11">
        <f>'Cash Flows Cumulative'!E22-'Cash Flows Cumulative'!D22</f>
        <v>606</v>
      </c>
      <c r="F22" s="61">
        <f t="shared" si="0"/>
        <v>-1653</v>
      </c>
      <c r="G22" s="11">
        <f>'Cash Flows Cumulative'!G22</f>
        <v>-550</v>
      </c>
      <c r="H22" s="11">
        <f>'Cash Flows Cumulative'!H22-'Cash Flows Cumulative'!G22</f>
        <v>277</v>
      </c>
      <c r="I22" s="11">
        <f>'Cash Flows Cumulative'!I22-'Cash Flows Cumulative'!H22</f>
        <v>1988</v>
      </c>
      <c r="J22" s="11">
        <f>'Cash Flows Cumulative'!J22-'Cash Flows Cumulative'!I22</f>
        <v>-4604</v>
      </c>
      <c r="K22" s="61">
        <f t="shared" si="1"/>
        <v>-2889</v>
      </c>
      <c r="L22" s="11">
        <f>'Cash Flows Cumulative'!L22</f>
        <v>-649</v>
      </c>
      <c r="M22" s="11">
        <f>'Cash Flows Cumulative'!M22-'Cash Flows Cumulative'!L22</f>
        <v>319</v>
      </c>
      <c r="N22" s="11">
        <f>'Cash Flows Cumulative'!N22-'Cash Flows Cumulative'!M22</f>
        <v>2644</v>
      </c>
      <c r="O22" s="11">
        <f>'Cash Flows Cumulative'!O22-'Cash Flows Cumulative'!N22</f>
        <v>-2618</v>
      </c>
      <c r="P22" s="61">
        <f t="shared" si="2"/>
        <v>-304</v>
      </c>
      <c r="Q22" s="11">
        <f>'Cash Flows Cumulative'!Q22</f>
        <v>-697</v>
      </c>
      <c r="R22" s="11">
        <f>'Cash Flows Cumulative'!R22-'Cash Flows Cumulative'!Q22</f>
        <v>291</v>
      </c>
      <c r="S22" s="11">
        <f>'Cash Flows Cumulative'!S22-'Cash Flows Cumulative'!R22</f>
        <v>1166</v>
      </c>
      <c r="T22" s="11">
        <f>'Cash Flows Cumulative'!T22-'Cash Flows Cumulative'!S22</f>
        <v>-832</v>
      </c>
      <c r="U22" s="61">
        <f t="shared" si="3"/>
        <v>-72</v>
      </c>
      <c r="V22" s="11">
        <f>'Cash Flows Cumulative'!V22</f>
        <v>3634</v>
      </c>
      <c r="W22" s="11">
        <f>'Cash Flows Cumulative'!W22-'Cash Flows Cumulative'!V22</f>
        <v>9603</v>
      </c>
      <c r="X22" s="11">
        <f>'Cash Flows Cumulative'!X22-'Cash Flows Cumulative'!W22</f>
        <v>2725</v>
      </c>
      <c r="Y22" s="11">
        <f>'Cash Flows Cumulative'!Y22-'Cash Flows Cumulative'!X22</f>
        <v>6157</v>
      </c>
      <c r="Z22" s="61">
        <f t="shared" si="4"/>
        <v>22119</v>
      </c>
      <c r="AA22" s="11">
        <f>'Cash Flows Cumulative'!AA22</f>
        <v>-5975</v>
      </c>
      <c r="AB22" s="11">
        <f>'Cash Flows Cumulative'!AB22-'Cash Flows Cumulative'!AA22</f>
        <v>3282</v>
      </c>
      <c r="AC22" s="11">
        <f>'Cash Flows Cumulative'!AC22-'Cash Flows Cumulative'!AB22</f>
        <v>220</v>
      </c>
      <c r="AD22" s="11">
        <f>'Cash Flows Cumulative'!AD22-'Cash Flows Cumulative'!AC22</f>
        <v>-4338</v>
      </c>
      <c r="AE22" s="61">
        <f t="shared" si="5"/>
        <v>-6811</v>
      </c>
      <c r="AF22" s="11">
        <f>'Cash Flows Cumulative'!AF22</f>
        <v>-6383</v>
      </c>
      <c r="AG22" s="11">
        <f>'Cash Flows Cumulative'!AG22-'Cash Flows Cumulative'!AF22</f>
        <v>2461</v>
      </c>
      <c r="AH22" s="11">
        <f>'Cash Flows Cumulative'!AH22-'Cash Flows Cumulative'!AG22</f>
        <v>2641</v>
      </c>
      <c r="AI22" s="11">
        <f>'Cash Flows Cumulative'!AI22-'Cash Flows Cumulative'!AH22</f>
        <v>-6874</v>
      </c>
      <c r="AJ22" s="61">
        <f t="shared" si="6"/>
        <v>-8155</v>
      </c>
      <c r="AK22" s="11">
        <f>'Cash Flows Cumulative'!AK22</f>
        <v>-2658</v>
      </c>
      <c r="AL22" s="11">
        <f>'Cash Flows Cumulative'!AL22-'Cash Flows Cumulative'!AK22</f>
        <v>1778</v>
      </c>
      <c r="AM22" s="11">
        <f>'Cash Flows Cumulative'!AM22-'Cash Flows Cumulative'!AL22</f>
        <v>3614</v>
      </c>
      <c r="AN22" s="11">
        <f>'Cash Flows Cumulative'!AN22-'Cash Flows Cumulative'!AM22</f>
        <v>-3015</v>
      </c>
      <c r="AO22" s="61">
        <f t="shared" si="7"/>
        <v>-281</v>
      </c>
      <c r="AP22" s="11">
        <f>'Cash Flows Cumulative'!AP22</f>
        <v>3934</v>
      </c>
      <c r="AQ22" s="11">
        <f>'Cash Flows Cumulative'!AQ22-'Cash Flows Cumulative'!AP22</f>
        <v>-4104</v>
      </c>
      <c r="AR22" s="11">
        <f>'Cash Flows Cumulative'!AR22-'Cash Flows Cumulative'!AQ22</f>
        <v>2823</v>
      </c>
      <c r="AS22" s="11">
        <f>'Cash Flows Cumulative'!AS22-'Cash Flows Cumulative'!AR22</f>
        <v>-4220</v>
      </c>
      <c r="AT22" s="61">
        <f t="shared" si="8"/>
        <v>-1567</v>
      </c>
      <c r="AU22" s="11">
        <f>'Cash Flows Cumulative'!AU22</f>
        <v>-2774</v>
      </c>
      <c r="AV22" s="11">
        <f>'Cash Flows Cumulative'!AV22-'Cash Flows Cumulative'!AU22</f>
        <v>377</v>
      </c>
      <c r="AW22" s="11">
        <f>'Cash Flows Cumulative'!AW22-'Cash Flows Cumulative'!AV22</f>
        <v>6053</v>
      </c>
      <c r="AX22" s="11">
        <f>'Cash Flows Cumulative'!AX22-'Cash Flows Cumulative'!AW22</f>
        <v>-3043</v>
      </c>
      <c r="AY22" s="61">
        <f t="shared" si="9"/>
        <v>613</v>
      </c>
      <c r="AZ22" s="11">
        <f>'Cash Flows Cumulative'!AZ22</f>
        <v>-8378</v>
      </c>
      <c r="BA22" s="11">
        <f>'Cash Flows Cumulative'!BA22-'Cash Flows Cumulative'!AZ22</f>
        <v>4037</v>
      </c>
      <c r="BB22" s="11">
        <f>'Cash Flows Cumulative'!BB22-'Cash Flows Cumulative'!BA22</f>
        <v>8189</v>
      </c>
      <c r="BC22" s="11">
        <f>'Cash Flows Cumulative'!BC22-'Cash Flows Cumulative'!BB22</f>
        <v>1632</v>
      </c>
      <c r="BD22" s="61">
        <f t="shared" si="10"/>
        <v>5480</v>
      </c>
      <c r="BE22" s="11">
        <f>'Cash Flows Cumulative'!BE22</f>
        <v>-659</v>
      </c>
      <c r="BF22" s="11">
        <f>'Cash Flows Cumulative'!BF22-'Cash Flows Cumulative'!BE22</f>
        <v>2761</v>
      </c>
      <c r="BG22" s="11">
        <f>'Cash Flows Cumulative'!BG22-'Cash Flows Cumulative'!BF22</f>
        <v>-293</v>
      </c>
      <c r="BH22" s="11">
        <f>'Cash Flows Cumulative'!BH22-'Cash Flows Cumulative'!BG22</f>
        <v>7803</v>
      </c>
      <c r="BI22" s="61">
        <f t="shared" si="11"/>
        <v>9612</v>
      </c>
      <c r="BJ22" s="11">
        <f>'Cash Flows Cumulative'!BJ22</f>
        <v>-9509</v>
      </c>
      <c r="BK22" s="11">
        <f>'Cash Flows Cumulative'!BK22-'Cash Flows Cumulative'!BJ22</f>
        <v>-8351</v>
      </c>
      <c r="BL22" s="11">
        <f>'Cash Flows Cumulative'!BL22-'Cash Flows Cumulative'!BK22</f>
        <v>-2235</v>
      </c>
      <c r="BM22" s="11">
        <f>'Cash Flows Cumulative'!BM22-'Cash Flows Cumulative'!BL22</f>
        <v>429</v>
      </c>
      <c r="BN22" s="61">
        <f t="shared" si="12"/>
        <v>-19666</v>
      </c>
      <c r="BO22" s="11">
        <f>'Cash Flows Cumulative'!BO22</f>
        <v>-10274</v>
      </c>
      <c r="BP22" s="11">
        <f>'Cash Flows Cumulative'!BP22-'Cash Flows Cumulative'!BO22</f>
        <v>954</v>
      </c>
      <c r="BQ22" s="11">
        <f>'Cash Flows Cumulative'!BQ22-'Cash Flows Cumulative'!BP22</f>
        <v>-16793</v>
      </c>
      <c r="BR22" s="11">
        <f>'Cash Flows Cumulative'!BR22-'Cash Flows Cumulative'!BQ22</f>
        <v>-11197</v>
      </c>
      <c r="BS22" s="61">
        <f t="shared" si="13"/>
        <v>-37310</v>
      </c>
      <c r="BT22" s="11">
        <f>'Cash Flows Cumulative'!BT22</f>
        <v>-6477</v>
      </c>
      <c r="BU22" s="11">
        <f>'Cash Flows Cumulative'!BU22-'Cash Flows Cumulative'!BT22</f>
        <v>-9113</v>
      </c>
      <c r="BV22" s="11">
        <f>'Cash Flows Cumulative'!BV22-'Cash Flows Cumulative'!BU22</f>
        <v>-1902</v>
      </c>
      <c r="BW22" s="11">
        <f>'Cash Flows Cumulative'!BW22-'Cash Flows Cumulative'!BV22</f>
        <v>2740</v>
      </c>
      <c r="BX22" s="61">
        <f t="shared" si="14"/>
        <v>-14752</v>
      </c>
      <c r="BY22" s="11">
        <f>'Cash Flows Cumulative'!BY22</f>
        <v>-17961</v>
      </c>
      <c r="BZ22" s="11">
        <f>'Cash Flows Cumulative'!BZ22-'Cash Flows Cumulative'!BY22</f>
        <v>18556</v>
      </c>
      <c r="CA22" s="11">
        <f>'Cash Flows Cumulative'!CA22-'Cash Flows Cumulative'!BZ22</f>
        <v>7368</v>
      </c>
      <c r="CB22" s="11">
        <f>'Cash Flows Cumulative'!CB22-'Cash Flows Cumulative'!CA22</f>
        <v>16752</v>
      </c>
      <c r="CC22" s="61">
        <f t="shared" si="15"/>
        <v>24715</v>
      </c>
      <c r="CD22" s="11">
        <f>'Cash Flows Cumulative'!CD22</f>
        <v>-31448</v>
      </c>
      <c r="CE22" s="103">
        <f>'Cash Flows Cumulative'!CE22-'Cash Flows Cumulative'!CD22</f>
        <v>-4394</v>
      </c>
      <c r="CF22" s="103">
        <f>'Cash Flows Cumulative'!CF22-'Cash Flows Cumulative'!CE22</f>
        <v>-4485</v>
      </c>
      <c r="CG22" s="103">
        <f>'Cash Flows Cumulative'!CG22-'Cash Flows Cumulative'!CF22</f>
        <v>-3220</v>
      </c>
      <c r="CH22" s="61">
        <f t="shared" si="16"/>
        <v>-43547</v>
      </c>
      <c r="CI22" s="11">
        <f>'Cash Flows Cumulative'!CI22</f>
        <v>-19120</v>
      </c>
      <c r="CJ22" s="11">
        <f>'Cash Flows Cumulative'!CJ22-'Cash Flows Cumulative'!CI22</f>
        <v>-8616</v>
      </c>
      <c r="CK22" s="11">
        <f>'Cash Flows Cumulative'!CK22-'Cash Flows Cumulative'!CJ22</f>
        <v>-11910</v>
      </c>
      <c r="CL22" s="11">
        <f>'Cash Flows Cumulative'!CL22-'Cash Flows Cumulative'!CK22</f>
        <v>-5047</v>
      </c>
      <c r="CM22" s="61">
        <f t="shared" si="17"/>
        <v>-44693</v>
      </c>
      <c r="CN22" s="11">
        <f>'Cash Flows Cumulative'!CN22</f>
        <v>-26230</v>
      </c>
      <c r="CO22" s="11">
        <f>'Cash Flows Cumulative'!CO22-'Cash Flows Cumulative'!CN22</f>
        <v>-2035</v>
      </c>
      <c r="CP22" s="11"/>
      <c r="CQ22" s="11"/>
      <c r="CR22" s="61">
        <f t="shared" si="18"/>
        <v>-28265</v>
      </c>
    </row>
    <row r="23" spans="1:96" ht="11.15" customHeight="1" x14ac:dyDescent="0.2">
      <c r="A23" s="26" t="s">
        <v>86</v>
      </c>
      <c r="B23" s="11">
        <f>'Cash Flows Cumulative'!B23</f>
        <v>-769</v>
      </c>
      <c r="C23" s="11">
        <f>'Cash Flows Cumulative'!C23-'Cash Flows Cumulative'!B23</f>
        <v>1180</v>
      </c>
      <c r="D23" s="11">
        <f>'Cash Flows Cumulative'!D23-'Cash Flows Cumulative'!C23</f>
        <v>6006</v>
      </c>
      <c r="E23" s="11">
        <f>'Cash Flows Cumulative'!E23-'Cash Flows Cumulative'!D23</f>
        <v>748</v>
      </c>
      <c r="F23" s="61">
        <f t="shared" si="0"/>
        <v>7165</v>
      </c>
      <c r="G23" s="11">
        <f>'Cash Flows Cumulative'!G23</f>
        <v>-855</v>
      </c>
      <c r="H23" s="11">
        <f>'Cash Flows Cumulative'!H23-'Cash Flows Cumulative'!G23</f>
        <v>-6262</v>
      </c>
      <c r="I23" s="11">
        <f>'Cash Flows Cumulative'!I23-'Cash Flows Cumulative'!H23</f>
        <v>-2706</v>
      </c>
      <c r="J23" s="11">
        <f>'Cash Flows Cumulative'!J23-'Cash Flows Cumulative'!I23</f>
        <v>-1181</v>
      </c>
      <c r="K23" s="61">
        <f t="shared" si="1"/>
        <v>-11004</v>
      </c>
      <c r="L23" s="11">
        <f>'Cash Flows Cumulative'!L23</f>
        <v>2132</v>
      </c>
      <c r="M23" s="11">
        <f>'Cash Flows Cumulative'!M23-'Cash Flows Cumulative'!L23</f>
        <v>1798</v>
      </c>
      <c r="N23" s="11">
        <f>'Cash Flows Cumulative'!N23-'Cash Flows Cumulative'!M23</f>
        <v>-790</v>
      </c>
      <c r="O23" s="11">
        <f>'Cash Flows Cumulative'!O23-'Cash Flows Cumulative'!N23</f>
        <v>-5262</v>
      </c>
      <c r="P23" s="61">
        <f t="shared" si="2"/>
        <v>-2122</v>
      </c>
      <c r="Q23" s="11">
        <f>'Cash Flows Cumulative'!Q23</f>
        <v>2772</v>
      </c>
      <c r="R23" s="11">
        <f>'Cash Flows Cumulative'!R23-'Cash Flows Cumulative'!Q23</f>
        <v>-69</v>
      </c>
      <c r="S23" s="11">
        <f>'Cash Flows Cumulative'!S23-'Cash Flows Cumulative'!R23</f>
        <v>2693</v>
      </c>
      <c r="T23" s="11">
        <f>'Cash Flows Cumulative'!T23-'Cash Flows Cumulative'!S23</f>
        <v>-1445</v>
      </c>
      <c r="U23" s="61">
        <f t="shared" si="3"/>
        <v>3951</v>
      </c>
      <c r="V23" s="11">
        <f>'Cash Flows Cumulative'!V23</f>
        <v>236</v>
      </c>
      <c r="W23" s="11">
        <f>'Cash Flows Cumulative'!W23-'Cash Flows Cumulative'!V23</f>
        <v>2537</v>
      </c>
      <c r="X23" s="11">
        <f>'Cash Flows Cumulative'!X23-'Cash Flows Cumulative'!W23</f>
        <v>-1233</v>
      </c>
      <c r="Y23" s="11">
        <f>'Cash Flows Cumulative'!Y23-'Cash Flows Cumulative'!X23</f>
        <v>11371</v>
      </c>
      <c r="Z23" s="61">
        <f t="shared" si="4"/>
        <v>12911</v>
      </c>
      <c r="AA23" s="11">
        <f>'Cash Flows Cumulative'!AA23</f>
        <v>-4577</v>
      </c>
      <c r="AB23" s="11">
        <f>'Cash Flows Cumulative'!AB23-'Cash Flows Cumulative'!AA23</f>
        <v>6406</v>
      </c>
      <c r="AC23" s="11">
        <f>'Cash Flows Cumulative'!AC23-'Cash Flows Cumulative'!AB23</f>
        <v>12599</v>
      </c>
      <c r="AD23" s="11">
        <f>'Cash Flows Cumulative'!AD23-'Cash Flows Cumulative'!AC23</f>
        <v>-1499</v>
      </c>
      <c r="AE23" s="61">
        <f t="shared" si="5"/>
        <v>12929</v>
      </c>
      <c r="AF23" s="11">
        <f>'Cash Flows Cumulative'!AF23</f>
        <v>5186</v>
      </c>
      <c r="AG23" s="11">
        <f>'Cash Flows Cumulative'!AG23-'Cash Flows Cumulative'!AF23</f>
        <v>5855</v>
      </c>
      <c r="AH23" s="11">
        <f>'Cash Flows Cumulative'!AH23-'Cash Flows Cumulative'!AG23</f>
        <v>7997</v>
      </c>
      <c r="AI23" s="11">
        <f>'Cash Flows Cumulative'!AI23-'Cash Flows Cumulative'!AH23</f>
        <v>2080</v>
      </c>
      <c r="AJ23" s="61">
        <f t="shared" si="6"/>
        <v>21118</v>
      </c>
      <c r="AK23" s="11">
        <f>'Cash Flows Cumulative'!AK23</f>
        <v>-40243</v>
      </c>
      <c r="AL23" s="11">
        <f>'Cash Flows Cumulative'!AL23-'Cash Flows Cumulative'!AK23</f>
        <v>7831</v>
      </c>
      <c r="AM23" s="11">
        <f>'Cash Flows Cumulative'!AM23-'Cash Flows Cumulative'!AL23</f>
        <v>7226</v>
      </c>
      <c r="AN23" s="11">
        <f>'Cash Flows Cumulative'!AN23-'Cash Flows Cumulative'!AM23</f>
        <v>-5598</v>
      </c>
      <c r="AO23" s="61">
        <f t="shared" si="7"/>
        <v>-30784</v>
      </c>
      <c r="AP23" s="11">
        <f>'Cash Flows Cumulative'!AP23</f>
        <v>-175</v>
      </c>
      <c r="AQ23" s="11">
        <f>'Cash Flows Cumulative'!AQ23-'Cash Flows Cumulative'!AP23</f>
        <v>-896</v>
      </c>
      <c r="AR23" s="11">
        <f>'Cash Flows Cumulative'!AR23-'Cash Flows Cumulative'!AQ23</f>
        <v>462</v>
      </c>
      <c r="AS23" s="11">
        <f>'Cash Flows Cumulative'!AS23-'Cash Flows Cumulative'!AR23</f>
        <v>6372</v>
      </c>
      <c r="AT23" s="61">
        <f t="shared" si="8"/>
        <v>5763</v>
      </c>
      <c r="AU23" s="11">
        <f>'Cash Flows Cumulative'!AU23</f>
        <v>7716</v>
      </c>
      <c r="AV23" s="11">
        <f>'Cash Flows Cumulative'!AV23-'Cash Flows Cumulative'!AU23</f>
        <v>-649</v>
      </c>
      <c r="AW23" s="11">
        <f>'Cash Flows Cumulative'!AW23-'Cash Flows Cumulative'!AV23</f>
        <v>10434</v>
      </c>
      <c r="AX23" s="11">
        <f>'Cash Flows Cumulative'!AX23-'Cash Flows Cumulative'!AW23</f>
        <v>-7972</v>
      </c>
      <c r="AY23" s="61">
        <f t="shared" si="9"/>
        <v>9529</v>
      </c>
      <c r="AZ23" s="11">
        <f>'Cash Flows Cumulative'!AZ23</f>
        <v>14583</v>
      </c>
      <c r="BA23" s="11">
        <f>'Cash Flows Cumulative'!BA23-'Cash Flows Cumulative'!AZ23</f>
        <v>-25236</v>
      </c>
      <c r="BB23" s="11">
        <f>'Cash Flows Cumulative'!BB23-'Cash Flows Cumulative'!BA23</f>
        <v>3214</v>
      </c>
      <c r="BC23" s="11">
        <f>'Cash Flows Cumulative'!BC23-'Cash Flows Cumulative'!BB23</f>
        <v>-3307</v>
      </c>
      <c r="BD23" s="61">
        <f t="shared" si="10"/>
        <v>-10746</v>
      </c>
      <c r="BE23" s="11">
        <f>'Cash Flows Cumulative'!BE23</f>
        <v>-10081</v>
      </c>
      <c r="BF23" s="11">
        <f>'Cash Flows Cumulative'!BF23-'Cash Flows Cumulative'!BE23</f>
        <v>-11932</v>
      </c>
      <c r="BG23" s="11">
        <f>'Cash Flows Cumulative'!BG23-'Cash Flows Cumulative'!BF23</f>
        <v>-4853</v>
      </c>
      <c r="BH23" s="11">
        <f>'Cash Flows Cumulative'!BH23-'Cash Flows Cumulative'!BG23</f>
        <v>43585</v>
      </c>
      <c r="BI23" s="61">
        <f t="shared" si="11"/>
        <v>16719</v>
      </c>
      <c r="BJ23" s="11">
        <f>'Cash Flows Cumulative'!BJ23</f>
        <v>5264</v>
      </c>
      <c r="BK23" s="11">
        <f>'Cash Flows Cumulative'!BK23-'Cash Flows Cumulative'!BJ23</f>
        <v>8762</v>
      </c>
      <c r="BL23" s="11">
        <f>'Cash Flows Cumulative'!BL23-'Cash Flows Cumulative'!BK23</f>
        <v>1812</v>
      </c>
      <c r="BM23" s="11">
        <f>'Cash Flows Cumulative'!BM23-'Cash Flows Cumulative'!BL23</f>
        <v>19374</v>
      </c>
      <c r="BN23" s="61">
        <f t="shared" si="12"/>
        <v>35212</v>
      </c>
      <c r="BO23" s="11">
        <f>'Cash Flows Cumulative'!BO23</f>
        <v>-57801</v>
      </c>
      <c r="BP23" s="11">
        <f>'Cash Flows Cumulative'!BP23-'Cash Flows Cumulative'!BO23</f>
        <v>940</v>
      </c>
      <c r="BQ23" s="11">
        <f>'Cash Flows Cumulative'!BQ23-'Cash Flows Cumulative'!BP23</f>
        <v>7113</v>
      </c>
      <c r="BR23" s="11">
        <f>'Cash Flows Cumulative'!BR23-'Cash Flows Cumulative'!BQ23</f>
        <v>5811</v>
      </c>
      <c r="BS23" s="61">
        <f t="shared" si="13"/>
        <v>-43937</v>
      </c>
      <c r="BT23" s="11">
        <f>'Cash Flows Cumulative'!BT23</f>
        <v>-21012</v>
      </c>
      <c r="BU23" s="11">
        <f>'Cash Flows Cumulative'!BU23-'Cash Flows Cumulative'!BT23</f>
        <v>-22824</v>
      </c>
      <c r="BV23" s="11">
        <f>'Cash Flows Cumulative'!BV23-'Cash Flows Cumulative'!BU23</f>
        <v>15491</v>
      </c>
      <c r="BW23" s="11">
        <f>'Cash Flows Cumulative'!BW23-'Cash Flows Cumulative'!BV23</f>
        <v>5008</v>
      </c>
      <c r="BX23" s="61">
        <f t="shared" si="14"/>
        <v>-23337</v>
      </c>
      <c r="BY23" s="11">
        <f>'Cash Flows Cumulative'!BY23</f>
        <v>-14847</v>
      </c>
      <c r="BZ23" s="11">
        <f>'Cash Flows Cumulative'!BZ23-'Cash Flows Cumulative'!BY23</f>
        <v>6251</v>
      </c>
      <c r="CA23" s="11">
        <f>'Cash Flows Cumulative'!CA23-'Cash Flows Cumulative'!BZ23</f>
        <v>45598</v>
      </c>
      <c r="CB23" s="11">
        <f>'Cash Flows Cumulative'!CB23-'Cash Flows Cumulative'!CA23</f>
        <v>-1146</v>
      </c>
      <c r="CC23" s="61">
        <f t="shared" si="15"/>
        <v>35856</v>
      </c>
      <c r="CD23" s="11">
        <f>'Cash Flows Cumulative'!CD23</f>
        <v>-14180</v>
      </c>
      <c r="CE23" s="103">
        <f>'Cash Flows Cumulative'!CE23-'Cash Flows Cumulative'!CD23</f>
        <v>-3483</v>
      </c>
      <c r="CF23" s="103">
        <f>'Cash Flows Cumulative'!CF23-'Cash Flows Cumulative'!CE23</f>
        <v>-160</v>
      </c>
      <c r="CG23" s="103">
        <f>'Cash Flows Cumulative'!CG23-'Cash Flows Cumulative'!CF23</f>
        <v>3691</v>
      </c>
      <c r="CH23" s="61">
        <f t="shared" si="16"/>
        <v>-14132</v>
      </c>
      <c r="CI23" s="11">
        <f>'Cash Flows Cumulative'!CI23</f>
        <v>-9749</v>
      </c>
      <c r="CJ23" s="11">
        <f>'Cash Flows Cumulative'!CJ23-'Cash Flows Cumulative'!CI23</f>
        <v>-2898</v>
      </c>
      <c r="CK23" s="11">
        <f>'Cash Flows Cumulative'!CK23-'Cash Flows Cumulative'!CJ23</f>
        <v>24945</v>
      </c>
      <c r="CL23" s="11">
        <f>'Cash Flows Cumulative'!CL23-'Cash Flows Cumulative'!CK23</f>
        <v>4755</v>
      </c>
      <c r="CM23" s="61">
        <f t="shared" si="17"/>
        <v>17053</v>
      </c>
      <c r="CN23" s="11">
        <f>'Cash Flows Cumulative'!CN23</f>
        <v>-1125</v>
      </c>
      <c r="CO23" s="11">
        <f>'Cash Flows Cumulative'!CO23-'Cash Flows Cumulative'!CN23</f>
        <v>-18306</v>
      </c>
      <c r="CP23" s="11"/>
      <c r="CQ23" s="11"/>
      <c r="CR23" s="61">
        <f t="shared" si="18"/>
        <v>-19431</v>
      </c>
    </row>
    <row r="24" spans="1:96" s="2" customFormat="1" ht="11.15" customHeight="1" x14ac:dyDescent="0.25">
      <c r="A24" s="27" t="s">
        <v>33</v>
      </c>
      <c r="B24" s="12">
        <f>SUM(B6:B23)</f>
        <v>6794</v>
      </c>
      <c r="C24" s="12">
        <f>SUM(C6:C23)</f>
        <v>3514</v>
      </c>
      <c r="D24" s="12">
        <f>SUM(D6:D23)</f>
        <v>-433</v>
      </c>
      <c r="E24" s="12">
        <f>SUM(E6:E23)</f>
        <v>9327</v>
      </c>
      <c r="F24" s="60">
        <f t="shared" si="0"/>
        <v>19202</v>
      </c>
      <c r="G24" s="12">
        <f>SUM(G6:G23)</f>
        <v>578</v>
      </c>
      <c r="H24" s="12">
        <f>SUM(H6:H23)</f>
        <v>-2569</v>
      </c>
      <c r="I24" s="12">
        <f>SUM(I6:I23)</f>
        <v>1485</v>
      </c>
      <c r="J24" s="12">
        <f>SUM(J6:J23)</f>
        <v>11163</v>
      </c>
      <c r="K24" s="60">
        <f t="shared" si="1"/>
        <v>10657</v>
      </c>
      <c r="L24" s="12">
        <f>SUM(L6:L23)</f>
        <v>5359</v>
      </c>
      <c r="M24" s="12">
        <f>SUM(M6:M23)</f>
        <v>6289</v>
      </c>
      <c r="N24" s="12">
        <f>SUM(N6:N23)</f>
        <v>13378</v>
      </c>
      <c r="O24" s="12">
        <f>SUM(O6:O23)</f>
        <v>9645</v>
      </c>
      <c r="P24" s="60">
        <f t="shared" si="2"/>
        <v>34671</v>
      </c>
      <c r="Q24" s="12">
        <f>SUM(Q6:Q23)</f>
        <v>17510</v>
      </c>
      <c r="R24" s="12">
        <f>SUM(R6:R23)</f>
        <v>6290</v>
      </c>
      <c r="S24" s="12">
        <f>SUM(S6:S23)</f>
        <v>13892</v>
      </c>
      <c r="T24" s="12">
        <f>SUM(T6:T23)</f>
        <v>16713</v>
      </c>
      <c r="U24" s="60">
        <f t="shared" si="3"/>
        <v>54405</v>
      </c>
      <c r="V24" s="12">
        <f>SUM(V6:V23)</f>
        <v>7876</v>
      </c>
      <c r="W24" s="12">
        <f>SUM(W6:W23)</f>
        <v>15562</v>
      </c>
      <c r="X24" s="12">
        <f>SUM(X6:X23)</f>
        <v>5969</v>
      </c>
      <c r="Y24" s="12">
        <f>SUM(Y6:Y23)</f>
        <v>41468</v>
      </c>
      <c r="Z24" s="60">
        <f t="shared" si="4"/>
        <v>70875</v>
      </c>
      <c r="AA24" s="12">
        <f>SUM(AA6:AA23)</f>
        <v>13262</v>
      </c>
      <c r="AB24" s="12">
        <f>SUM(AB6:AB23)</f>
        <v>19988</v>
      </c>
      <c r="AC24" s="12">
        <f>SUM(AC6:AC23)</f>
        <v>30255</v>
      </c>
      <c r="AD24" s="12">
        <f>SUM(AD6:AD23)</f>
        <v>31879</v>
      </c>
      <c r="AE24" s="60">
        <f t="shared" si="5"/>
        <v>95384</v>
      </c>
      <c r="AF24" s="12">
        <f>SUM(AF6:AF23)</f>
        <v>28053</v>
      </c>
      <c r="AG24" s="12">
        <f>SUM(AG6:AG23)</f>
        <v>51497</v>
      </c>
      <c r="AH24" s="12">
        <f>SUM(AH6:AH23)</f>
        <v>40825</v>
      </c>
      <c r="AI24" s="12">
        <f>SUM(AI6:AI23)</f>
        <v>59580</v>
      </c>
      <c r="AJ24" s="60">
        <f t="shared" si="6"/>
        <v>179955</v>
      </c>
      <c r="AK24" s="12">
        <f>SUM(AK6:AK23)</f>
        <v>-9875</v>
      </c>
      <c r="AL24" s="12">
        <f>SUM(AL6:AL23)</f>
        <v>36505</v>
      </c>
      <c r="AM24" s="12">
        <f>SUM(AM6:AM23)</f>
        <v>37941</v>
      </c>
      <c r="AN24" s="12">
        <f>SUM(AN6:AN23)</f>
        <v>63670</v>
      </c>
      <c r="AO24" s="60">
        <f t="shared" si="7"/>
        <v>128241</v>
      </c>
      <c r="AP24" s="12">
        <f>SUM(AP6:AP23)</f>
        <v>44956</v>
      </c>
      <c r="AQ24" s="12">
        <f>SUM(AQ6:AQ23)</f>
        <v>34345</v>
      </c>
      <c r="AR24" s="12">
        <f>SUM(AR6:AR23)</f>
        <v>47482</v>
      </c>
      <c r="AS24" s="12">
        <f>SUM(AS6:AS23)</f>
        <v>59301</v>
      </c>
      <c r="AT24" s="60">
        <f t="shared" si="8"/>
        <v>186084</v>
      </c>
      <c r="AU24" s="12">
        <f>SUM(AU6:AU23)</f>
        <v>56781</v>
      </c>
      <c r="AV24" s="12">
        <f>SUM(AV6:AV23)</f>
        <v>50294</v>
      </c>
      <c r="AW24" s="12">
        <f>SUM(AW6:AW23)</f>
        <v>93358</v>
      </c>
      <c r="AX24" s="12">
        <f>SUM(AX6:AX23)</f>
        <v>63049</v>
      </c>
      <c r="AY24" s="60">
        <f t="shared" si="9"/>
        <v>263482</v>
      </c>
      <c r="AZ24" s="12">
        <f>SUM(AZ6:AZ23)</f>
        <v>64897</v>
      </c>
      <c r="BA24" s="12">
        <f>SUM(BA6:BA23)</f>
        <v>43407</v>
      </c>
      <c r="BB24" s="12">
        <f>SUM(BB6:BB23)</f>
        <v>87541</v>
      </c>
      <c r="BC24" s="12">
        <f>SUM(BC6:BC23)</f>
        <v>101851</v>
      </c>
      <c r="BD24" s="60">
        <f t="shared" si="10"/>
        <v>297696</v>
      </c>
      <c r="BE24" s="12">
        <f>SUM(BE6:BE23)</f>
        <v>50820</v>
      </c>
      <c r="BF24" s="12">
        <f>SUM(BF6:BF23)</f>
        <v>82282</v>
      </c>
      <c r="BG24" s="12">
        <f>SUM(BG6:BG23)</f>
        <v>163748</v>
      </c>
      <c r="BH24" s="12">
        <f>SUM(BH6:BH23)</f>
        <v>108545</v>
      </c>
      <c r="BI24" s="60">
        <f t="shared" si="11"/>
        <v>405395</v>
      </c>
      <c r="BJ24" s="12">
        <f>SUM(BJ6:BJ23)</f>
        <v>99653</v>
      </c>
      <c r="BK24" s="12">
        <f>SUM(BK6:BK23)</f>
        <v>108898</v>
      </c>
      <c r="BL24" s="12">
        <f>SUM(BL6:BL23)</f>
        <v>71700</v>
      </c>
      <c r="BM24" s="12">
        <f>SUM(BM6:BM23)</f>
        <v>113050</v>
      </c>
      <c r="BN24" s="60">
        <f t="shared" si="12"/>
        <v>393301</v>
      </c>
      <c r="BO24" s="12">
        <f>SUM(BO6:BO23)</f>
        <v>43655</v>
      </c>
      <c r="BP24" s="12">
        <f>SUM(BP6:BP23)</f>
        <v>58124</v>
      </c>
      <c r="BQ24" s="12">
        <f>SUM(BQ6:BQ23)</f>
        <v>91803</v>
      </c>
      <c r="BR24" s="12">
        <f>SUM(BR6:BR23)</f>
        <v>129939</v>
      </c>
      <c r="BS24" s="60">
        <f t="shared" si="13"/>
        <v>323521</v>
      </c>
      <c r="BT24" s="12">
        <f>SUM(BT6:BT23)</f>
        <v>56781</v>
      </c>
      <c r="BU24" s="12">
        <f>SUM(BU6:BU23)</f>
        <v>73475</v>
      </c>
      <c r="BV24" s="12">
        <f>SUM(BV6:BV23)</f>
        <v>69761</v>
      </c>
      <c r="BW24" s="12">
        <f>SUM(BW6:BW23)</f>
        <v>85318</v>
      </c>
      <c r="BX24" s="60">
        <f t="shared" si="14"/>
        <v>285335</v>
      </c>
      <c r="BY24" s="12">
        <f>SUM(BY6:BY23)</f>
        <v>87543</v>
      </c>
      <c r="BZ24" s="12">
        <f>SUM(BZ6:BZ23)</f>
        <v>115647</v>
      </c>
      <c r="CA24" s="12">
        <f>SUM(CA6:CA23)</f>
        <v>101966</v>
      </c>
      <c r="CB24" s="12">
        <f>SUM(CB6:CB23)</f>
        <v>84544</v>
      </c>
      <c r="CC24" s="60">
        <f t="shared" si="15"/>
        <v>389700</v>
      </c>
      <c r="CD24" s="12">
        <f>SUM(CD6:CD23)</f>
        <v>16423</v>
      </c>
      <c r="CE24" s="12">
        <f>SUM(CE6:CE23)</f>
        <v>78738</v>
      </c>
      <c r="CF24" s="12">
        <f>SUM(CF6:CF23)</f>
        <v>75865</v>
      </c>
      <c r="CG24" s="12">
        <f>SUM(CG6:CG23)</f>
        <v>41623</v>
      </c>
      <c r="CH24" s="60">
        <f t="shared" si="16"/>
        <v>212649</v>
      </c>
      <c r="CI24" s="12">
        <f>SUM(CI6:CI23)</f>
        <v>37280</v>
      </c>
      <c r="CJ24" s="12">
        <f>SUM(CJ6:CJ23)</f>
        <v>66666</v>
      </c>
      <c r="CK24" s="12">
        <f>SUM(CK6:CK23)</f>
        <v>85978</v>
      </c>
      <c r="CL24" s="12">
        <f>SUM(CL6:CL23)</f>
        <v>106062</v>
      </c>
      <c r="CM24" s="60">
        <f t="shared" si="17"/>
        <v>295986</v>
      </c>
      <c r="CN24" s="12">
        <f>SUM(CN6:CN23)</f>
        <v>54596</v>
      </c>
      <c r="CO24" s="12">
        <f>SUM(CO6:CO23)</f>
        <v>53458</v>
      </c>
      <c r="CP24" s="12"/>
      <c r="CQ24" s="12"/>
      <c r="CR24" s="60">
        <f t="shared" si="18"/>
        <v>108054</v>
      </c>
    </row>
    <row r="25" spans="1:96" s="2" customFormat="1" ht="11.15" customHeight="1" x14ac:dyDescent="0.25">
      <c r="A25" s="21"/>
      <c r="B25" s="11"/>
      <c r="C25" s="11"/>
      <c r="D25" s="11"/>
      <c r="E25" s="11"/>
      <c r="F25" s="61"/>
      <c r="G25" s="11"/>
      <c r="H25" s="11"/>
      <c r="I25" s="11"/>
      <c r="J25" s="11"/>
      <c r="K25" s="61"/>
      <c r="L25" s="11"/>
      <c r="M25" s="11"/>
      <c r="N25" s="11"/>
      <c r="O25" s="11"/>
      <c r="P25" s="61"/>
      <c r="Q25" s="11"/>
      <c r="R25" s="11"/>
      <c r="S25" s="11"/>
      <c r="T25" s="11"/>
      <c r="U25" s="61"/>
      <c r="V25" s="11"/>
      <c r="W25" s="11"/>
      <c r="X25" s="11"/>
      <c r="Y25" s="11"/>
      <c r="Z25" s="61"/>
      <c r="AA25" s="11"/>
      <c r="AB25" s="11"/>
      <c r="AC25" s="11"/>
      <c r="AD25" s="11"/>
      <c r="AE25" s="61"/>
      <c r="AF25" s="11"/>
      <c r="AG25" s="11"/>
      <c r="AH25" s="11"/>
      <c r="AI25" s="11"/>
      <c r="AJ25" s="61"/>
      <c r="AK25" s="11"/>
      <c r="AL25" s="11"/>
      <c r="AM25" s="11"/>
      <c r="AN25" s="11"/>
      <c r="AO25" s="61"/>
      <c r="AP25" s="11"/>
      <c r="AQ25" s="11"/>
      <c r="AR25" s="11"/>
      <c r="AS25" s="11"/>
      <c r="AT25" s="61"/>
      <c r="AU25" s="11"/>
      <c r="AV25" s="11"/>
      <c r="AW25" s="11"/>
      <c r="AX25" s="11"/>
      <c r="AY25" s="61"/>
      <c r="AZ25" s="11"/>
      <c r="BA25" s="11"/>
      <c r="BB25" s="11"/>
      <c r="BC25" s="11"/>
      <c r="BD25" s="61"/>
      <c r="BE25" s="11"/>
      <c r="BF25" s="11"/>
      <c r="BG25" s="11"/>
      <c r="BH25" s="11"/>
      <c r="BI25" s="61"/>
      <c r="BJ25" s="11"/>
      <c r="BK25" s="11"/>
      <c r="BL25" s="11"/>
      <c r="BM25" s="11"/>
      <c r="BN25" s="61"/>
      <c r="BO25" s="11"/>
      <c r="BP25" s="11"/>
      <c r="BQ25" s="11"/>
      <c r="BR25" s="11"/>
      <c r="BS25" s="61"/>
      <c r="BT25" s="11"/>
      <c r="BU25" s="11"/>
      <c r="BV25" s="11"/>
      <c r="BW25" s="11"/>
      <c r="BX25" s="61"/>
      <c r="BY25" s="11"/>
      <c r="BZ25" s="11"/>
      <c r="CA25" s="11"/>
      <c r="CB25" s="11"/>
      <c r="CC25" s="61"/>
      <c r="CD25" s="11"/>
      <c r="CE25" s="11"/>
      <c r="CF25" s="11"/>
      <c r="CG25" s="11"/>
      <c r="CH25" s="61"/>
      <c r="CI25" s="11"/>
      <c r="CJ25" s="11"/>
      <c r="CK25" s="11"/>
      <c r="CL25" s="11"/>
      <c r="CM25" s="61"/>
      <c r="CN25" s="11"/>
      <c r="CO25" s="11"/>
      <c r="CP25" s="11"/>
      <c r="CQ25" s="11"/>
      <c r="CR25" s="61"/>
    </row>
    <row r="26" spans="1:96" s="2" customFormat="1" ht="11.15" customHeight="1" x14ac:dyDescent="0.25">
      <c r="A26" s="35" t="s">
        <v>199</v>
      </c>
      <c r="B26" s="4"/>
      <c r="C26" s="5"/>
      <c r="D26" s="5"/>
      <c r="E26" s="5"/>
      <c r="F26" s="69"/>
      <c r="G26" s="4"/>
      <c r="H26" s="5"/>
      <c r="I26" s="5"/>
      <c r="J26" s="5"/>
      <c r="K26" s="69"/>
      <c r="L26" s="4"/>
      <c r="M26" s="5"/>
      <c r="N26" s="5"/>
      <c r="O26" s="5"/>
      <c r="P26" s="69"/>
      <c r="Q26" s="4"/>
      <c r="R26" s="5"/>
      <c r="S26" s="5"/>
      <c r="T26" s="5"/>
      <c r="U26" s="69"/>
      <c r="V26" s="4"/>
      <c r="W26" s="5"/>
      <c r="X26" s="5"/>
      <c r="Y26" s="5"/>
      <c r="Z26" s="69"/>
      <c r="AA26" s="4"/>
      <c r="AB26" s="5"/>
      <c r="AC26" s="5"/>
      <c r="AD26" s="5"/>
      <c r="AE26" s="69"/>
      <c r="AF26" s="4"/>
      <c r="AG26" s="5"/>
      <c r="AH26" s="5"/>
      <c r="AI26" s="5"/>
      <c r="AJ26" s="69"/>
      <c r="AK26" s="4"/>
      <c r="AL26" s="5"/>
      <c r="AM26" s="5"/>
      <c r="AN26" s="5"/>
      <c r="AO26" s="69"/>
      <c r="AP26" s="4"/>
      <c r="AQ26" s="5"/>
      <c r="AR26" s="5"/>
      <c r="AS26" s="5"/>
      <c r="AT26" s="69"/>
      <c r="AU26" s="4"/>
      <c r="AV26" s="5"/>
      <c r="AW26" s="5"/>
      <c r="AX26" s="5"/>
      <c r="AY26" s="69"/>
      <c r="AZ26" s="4"/>
      <c r="BA26" s="5"/>
      <c r="BB26" s="5"/>
      <c r="BC26" s="5"/>
      <c r="BD26" s="69"/>
      <c r="BE26" s="4"/>
      <c r="BF26" s="4"/>
      <c r="BG26" s="32"/>
      <c r="BH26" s="5"/>
      <c r="BI26" s="69"/>
      <c r="BJ26" s="4"/>
      <c r="BK26" s="4"/>
      <c r="BL26" s="4"/>
      <c r="BM26" s="5"/>
      <c r="BN26" s="69"/>
      <c r="BO26" s="4"/>
      <c r="BP26" s="4"/>
      <c r="BQ26" s="4"/>
      <c r="BR26" s="5"/>
      <c r="BS26" s="69"/>
      <c r="BT26" s="4"/>
      <c r="BU26" s="4"/>
      <c r="BV26" s="4"/>
      <c r="BW26" s="4"/>
      <c r="BX26" s="69"/>
      <c r="BY26" s="4"/>
      <c r="BZ26" s="4"/>
      <c r="CA26" s="4"/>
      <c r="CB26" s="4"/>
      <c r="CC26" s="69"/>
      <c r="CD26" s="4"/>
      <c r="CE26" s="32"/>
      <c r="CF26" s="32"/>
      <c r="CG26" s="32"/>
      <c r="CH26" s="69"/>
      <c r="CI26" s="4"/>
      <c r="CJ26" s="4"/>
      <c r="CK26" s="4"/>
      <c r="CL26" s="32"/>
      <c r="CM26" s="69"/>
      <c r="CN26" s="4"/>
      <c r="CO26" s="4"/>
      <c r="CP26" s="4"/>
      <c r="CQ26" s="32"/>
      <c r="CR26" s="69"/>
    </row>
    <row r="27" spans="1:96" ht="11.15" customHeight="1" x14ac:dyDescent="0.2">
      <c r="A27" s="21" t="s">
        <v>232</v>
      </c>
      <c r="B27" s="11">
        <f>'Cash Flows Cumulative'!B27</f>
        <v>-3865</v>
      </c>
      <c r="C27" s="11">
        <f>'Cash Flows Cumulative'!C27-'Cash Flows Cumulative'!B27</f>
        <v>-5189</v>
      </c>
      <c r="D27" s="11">
        <f>'Cash Flows Cumulative'!D27-'Cash Flows Cumulative'!C27</f>
        <v>-5464</v>
      </c>
      <c r="E27" s="11">
        <f>'Cash Flows Cumulative'!E27-'Cash Flows Cumulative'!D27</f>
        <v>-5924</v>
      </c>
      <c r="F27" s="61">
        <f t="shared" ref="F27:F35" si="33">SUM(B27:E27)</f>
        <v>-20442</v>
      </c>
      <c r="G27" s="11">
        <f>'Cash Flows Cumulative'!G27</f>
        <v>-7262</v>
      </c>
      <c r="H27" s="11">
        <f>'Cash Flows Cumulative'!H27-'Cash Flows Cumulative'!G27</f>
        <v>-10597</v>
      </c>
      <c r="I27" s="11">
        <f>'Cash Flows Cumulative'!I27-'Cash Flows Cumulative'!H27</f>
        <v>-8599</v>
      </c>
      <c r="J27" s="11">
        <f>'Cash Flows Cumulative'!J27-'Cash Flows Cumulative'!I27</f>
        <v>-7883</v>
      </c>
      <c r="K27" s="61">
        <f t="shared" ref="K27:K35" si="34">SUM(G27:J27)</f>
        <v>-34341</v>
      </c>
      <c r="L27" s="11">
        <f>'Cash Flows Cumulative'!L27</f>
        <v>-12962</v>
      </c>
      <c r="M27" s="11">
        <f>'Cash Flows Cumulative'!M27-'Cash Flows Cumulative'!L27</f>
        <v>-7363</v>
      </c>
      <c r="N27" s="11">
        <f>'Cash Flows Cumulative'!N27-'Cash Flows Cumulative'!M27</f>
        <v>-9164</v>
      </c>
      <c r="O27" s="11">
        <f>'Cash Flows Cumulative'!O27-'Cash Flows Cumulative'!N27</f>
        <v>-7622</v>
      </c>
      <c r="P27" s="61">
        <f t="shared" ref="P27:P35" si="35">SUM(L27:O27)</f>
        <v>-37111</v>
      </c>
      <c r="Q27" s="11">
        <f>'Cash Flows Cumulative'!Q27</f>
        <v>-4686</v>
      </c>
      <c r="R27" s="11">
        <f>'Cash Flows Cumulative'!R27-'Cash Flows Cumulative'!Q27</f>
        <v>-3040</v>
      </c>
      <c r="S27" s="11">
        <f>'Cash Flows Cumulative'!S27-'Cash Flows Cumulative'!R27</f>
        <v>-1854</v>
      </c>
      <c r="T27" s="11">
        <f>'Cash Flows Cumulative'!T27-'Cash Flows Cumulative'!S27</f>
        <v>-918</v>
      </c>
      <c r="U27" s="61">
        <f t="shared" ref="U27:U35" si="36">SUM(Q27:T27)</f>
        <v>-10498</v>
      </c>
      <c r="V27" s="11">
        <f>'Cash Flows Cumulative'!V27</f>
        <v>-4953</v>
      </c>
      <c r="W27" s="11">
        <f>'Cash Flows Cumulative'!W27-'Cash Flows Cumulative'!V27</f>
        <v>-3748</v>
      </c>
      <c r="X27" s="11">
        <f>'Cash Flows Cumulative'!X27-'Cash Flows Cumulative'!W27</f>
        <v>-5500</v>
      </c>
      <c r="Y27" s="11">
        <f>'Cash Flows Cumulative'!Y27-'Cash Flows Cumulative'!X27</f>
        <v>-14173</v>
      </c>
      <c r="Z27" s="61">
        <f t="shared" ref="Z27:Z35" si="37">SUM(V27:Y27)</f>
        <v>-28374</v>
      </c>
      <c r="AA27" s="11">
        <f>'Cash Flows Cumulative'!AA27</f>
        <v>-9587</v>
      </c>
      <c r="AB27" s="11">
        <f>'Cash Flows Cumulative'!AB27-'Cash Flows Cumulative'!AA27</f>
        <v>-13199</v>
      </c>
      <c r="AC27" s="11">
        <f>'Cash Flows Cumulative'!AC27-'Cash Flows Cumulative'!AB27</f>
        <v>-11964</v>
      </c>
      <c r="AD27" s="11">
        <f>'Cash Flows Cumulative'!AD27-'Cash Flows Cumulative'!AC27</f>
        <v>-18257</v>
      </c>
      <c r="AE27" s="61">
        <f t="shared" ref="AE27:AE35" si="38">SUM(AA27:AD27)</f>
        <v>-53007</v>
      </c>
      <c r="AF27" s="11">
        <f>'Cash Flows Cumulative'!AF27</f>
        <v>-13779</v>
      </c>
      <c r="AG27" s="11">
        <f>'Cash Flows Cumulative'!AG27-'Cash Flows Cumulative'!AF27</f>
        <v>-22187</v>
      </c>
      <c r="AH27" s="11">
        <f>'Cash Flows Cumulative'!AH27-'Cash Flows Cumulative'!AG27</f>
        <v>-15749</v>
      </c>
      <c r="AI27" s="11">
        <f>'Cash Flows Cumulative'!AI27-'Cash Flows Cumulative'!AH27</f>
        <v>-16469</v>
      </c>
      <c r="AJ27" s="61">
        <f t="shared" ref="AJ27:AJ35" si="39">SUM(AF27:AI27)</f>
        <v>-68184</v>
      </c>
      <c r="AK27" s="11">
        <f>'Cash Flows Cumulative'!AK27</f>
        <v>-17746</v>
      </c>
      <c r="AL27" s="11">
        <f>'Cash Flows Cumulative'!AL27-'Cash Flows Cumulative'!AK27</f>
        <v>-16517</v>
      </c>
      <c r="AM27" s="11">
        <f>'Cash Flows Cumulative'!AM27-'Cash Flows Cumulative'!AL27</f>
        <v>-14070</v>
      </c>
      <c r="AN27" s="11">
        <f>'Cash Flows Cumulative'!AN27-'Cash Flows Cumulative'!AM27</f>
        <v>-22586</v>
      </c>
      <c r="AO27" s="61">
        <f t="shared" ref="AO27:AO35" si="40">SUM(AK27:AN27)</f>
        <v>-70919</v>
      </c>
      <c r="AP27" s="11">
        <f>'Cash Flows Cumulative'!AP27</f>
        <v>-11456</v>
      </c>
      <c r="AQ27" s="11">
        <f>'Cash Flows Cumulative'!AQ27-'Cash Flows Cumulative'!AP27</f>
        <v>-34325</v>
      </c>
      <c r="AR27" s="11">
        <f>'Cash Flows Cumulative'!AR27-'Cash Flows Cumulative'!AQ27</f>
        <v>-26942</v>
      </c>
      <c r="AS27" s="11">
        <f>'Cash Flows Cumulative'!AS27-'Cash Flows Cumulative'!AR27</f>
        <v>-15878</v>
      </c>
      <c r="AT27" s="61">
        <f t="shared" ref="AT27:AT35" si="41">SUM(AP27:AS27)</f>
        <v>-88601</v>
      </c>
      <c r="AU27" s="11">
        <f>'Cash Flows Cumulative'!AU27</f>
        <v>-14027</v>
      </c>
      <c r="AV27" s="11">
        <f>'Cash Flows Cumulative'!AV27-'Cash Flows Cumulative'!AU27</f>
        <v>-18579</v>
      </c>
      <c r="AW27" s="11">
        <f>'Cash Flows Cumulative'!AW27-'Cash Flows Cumulative'!AV27</f>
        <v>-18153</v>
      </c>
      <c r="AX27" s="11">
        <f>'Cash Flows Cumulative'!AX27-'Cash Flows Cumulative'!AW27</f>
        <v>-19360</v>
      </c>
      <c r="AY27" s="61">
        <f t="shared" ref="AY27:AY35" si="42">SUM(AU27:AX27)</f>
        <v>-70119</v>
      </c>
      <c r="AZ27" s="11">
        <f>'Cash Flows Cumulative'!AZ27</f>
        <v>-24960</v>
      </c>
      <c r="BA27" s="11">
        <f>'Cash Flows Cumulative'!BA27-'Cash Flows Cumulative'!AZ27</f>
        <v>-45903</v>
      </c>
      <c r="BB27" s="11">
        <f>'Cash Flows Cumulative'!BB27-'Cash Flows Cumulative'!BA27</f>
        <v>-30805</v>
      </c>
      <c r="BC27" s="11">
        <f>'Cash Flows Cumulative'!BC27-'Cash Flows Cumulative'!BB27</f>
        <v>-25374</v>
      </c>
      <c r="BD27" s="61">
        <f t="shared" ref="BD27:BD35" si="43">SUM(AZ27:BC27)</f>
        <v>-127042</v>
      </c>
      <c r="BE27" s="11">
        <f>'Cash Flows Cumulative'!BE27</f>
        <v>-21875</v>
      </c>
      <c r="BF27" s="11">
        <f>'Cash Flows Cumulative'!BF27-'Cash Flows Cumulative'!BE27</f>
        <v>-21757</v>
      </c>
      <c r="BG27" s="11">
        <f>'Cash Flows Cumulative'!BG27-'Cash Flows Cumulative'!BF27</f>
        <v>-55589</v>
      </c>
      <c r="BH27" s="11">
        <f>'Cash Flows Cumulative'!BH27-'Cash Flows Cumulative'!BG27</f>
        <v>-27314</v>
      </c>
      <c r="BI27" s="61">
        <f t="shared" ref="BI27:BI35" si="44">SUM(BE27:BH27)</f>
        <v>-126535</v>
      </c>
      <c r="BJ27" s="11">
        <f>'Cash Flows Cumulative'!BJ27</f>
        <v>-39113</v>
      </c>
      <c r="BK27" s="11">
        <f>'Cash Flows Cumulative'!BK27-'Cash Flows Cumulative'!BJ27</f>
        <v>-57403</v>
      </c>
      <c r="BL27" s="11">
        <f>'Cash Flows Cumulative'!BL27-'Cash Flows Cumulative'!BK27</f>
        <v>-36839</v>
      </c>
      <c r="BM27" s="11">
        <f>'Cash Flows Cumulative'!BM27-'Cash Flows Cumulative'!BL27</f>
        <v>-26988</v>
      </c>
      <c r="BN27" s="61">
        <f t="shared" ref="BN27:BN35" si="45">SUM(BJ27:BM27)</f>
        <v>-160343</v>
      </c>
      <c r="BO27" s="11">
        <f>'Cash Flows Cumulative'!BO27</f>
        <v>-32988</v>
      </c>
      <c r="BP27" s="11">
        <f>'Cash Flows Cumulative'!BP27-'Cash Flows Cumulative'!BO27</f>
        <v>-53504</v>
      </c>
      <c r="BQ27" s="11">
        <f>'Cash Flows Cumulative'!BQ27-'Cash Flows Cumulative'!BP27</f>
        <v>-21048</v>
      </c>
      <c r="BR27" s="11">
        <f>'Cash Flows Cumulative'!BR27-'Cash Flows Cumulative'!BQ27</f>
        <v>-25996</v>
      </c>
      <c r="BS27" s="61">
        <f t="shared" ref="BS27:BS35" si="46">SUM(BO27:BR27)</f>
        <v>-133536</v>
      </c>
      <c r="BT27" s="11">
        <f>'Cash Flows Cumulative'!BT27</f>
        <v>-17801</v>
      </c>
      <c r="BU27" s="11">
        <f>'Cash Flows Cumulative'!BU27-'Cash Flows Cumulative'!BT27</f>
        <v>-19569</v>
      </c>
      <c r="BV27" s="11">
        <f>'Cash Flows Cumulative'!BV27-'Cash Flows Cumulative'!BU27</f>
        <v>-24501</v>
      </c>
      <c r="BW27" s="11">
        <f>'Cash Flows Cumulative'!BW27-'Cash Flows Cumulative'!BV27</f>
        <v>-25825</v>
      </c>
      <c r="BX27" s="61">
        <f t="shared" ref="BX27:BX35" si="47">SUM(BT27:BW27)</f>
        <v>-87696</v>
      </c>
      <c r="BY27" s="11">
        <f>'Cash Flows Cumulative'!BY27</f>
        <v>-27421</v>
      </c>
      <c r="BZ27" s="11">
        <f>'Cash Flows Cumulative'!BZ27-'Cash Flows Cumulative'!BY27</f>
        <v>-26923</v>
      </c>
      <c r="CA27" s="11">
        <f>'Cash Flows Cumulative'!CA27-'Cash Flows Cumulative'!BZ27</f>
        <v>-39513</v>
      </c>
      <c r="CB27" s="11">
        <f>'Cash Flows Cumulative'!CB27-'Cash Flows Cumulative'!CA27</f>
        <v>-29251</v>
      </c>
      <c r="CC27" s="61">
        <f t="shared" ref="CC27:CC35" si="48">SUM(BY27:CB27)</f>
        <v>-123108</v>
      </c>
      <c r="CD27" s="11">
        <f>'Cash Flows Cumulative'!CD27</f>
        <v>-25177</v>
      </c>
      <c r="CE27" s="103">
        <f>'Cash Flows Cumulative'!CE27-'Cash Flows Cumulative'!CD27</f>
        <v>-34726</v>
      </c>
      <c r="CF27" s="103">
        <f>'Cash Flows Cumulative'!CF27-'Cash Flows Cumulative'!CE27</f>
        <v>-24649</v>
      </c>
      <c r="CG27" s="103">
        <f>'Cash Flows Cumulative'!CG27-'Cash Flows Cumulative'!CF27</f>
        <v>-25589</v>
      </c>
      <c r="CH27" s="61">
        <f t="shared" ref="CH27:CH35" si="49">SUM(CD27:CG27)</f>
        <v>-110141</v>
      </c>
      <c r="CI27" s="11">
        <f>'Cash Flows Cumulative'!CI27</f>
        <v>-33404</v>
      </c>
      <c r="CJ27" s="11">
        <f>'Cash Flows Cumulative'!CJ27-'Cash Flows Cumulative'!CI27</f>
        <v>-25735</v>
      </c>
      <c r="CK27" s="11">
        <f>'Cash Flows Cumulative'!CK27-'Cash Flows Cumulative'!CJ27</f>
        <v>-26117</v>
      </c>
      <c r="CL27" s="11">
        <f>'Cash Flows Cumulative'!CL27-'Cash Flows Cumulative'!CK27</f>
        <v>-25227</v>
      </c>
      <c r="CM27" s="61">
        <f t="shared" ref="CM27:CM35" si="50">SUM(CI27:CL27)</f>
        <v>-110483</v>
      </c>
      <c r="CN27" s="11">
        <f>'Cash Flows Cumulative'!CN27</f>
        <v>-28052</v>
      </c>
      <c r="CO27" s="11">
        <f>'Cash Flows Cumulative'!CO27-'Cash Flows Cumulative'!CN27</f>
        <v>-24218</v>
      </c>
      <c r="CP27" s="11"/>
      <c r="CQ27" s="11"/>
      <c r="CR27" s="61">
        <f t="shared" ref="CR27:CR35" si="51">SUM(CN27:CQ27)</f>
        <v>-52270</v>
      </c>
    </row>
    <row r="28" spans="1:96" ht="11.15" customHeight="1" x14ac:dyDescent="0.2">
      <c r="A28" s="21" t="s">
        <v>77</v>
      </c>
      <c r="B28" s="11">
        <f>'Cash Flows Cumulative'!B28</f>
        <v>0</v>
      </c>
      <c r="C28" s="11">
        <f>'Cash Flows Cumulative'!C28-'Cash Flows Cumulative'!B28</f>
        <v>0</v>
      </c>
      <c r="D28" s="11">
        <f>'Cash Flows Cumulative'!D28-'Cash Flows Cumulative'!C28</f>
        <v>0</v>
      </c>
      <c r="E28" s="11">
        <f>'Cash Flows Cumulative'!E28-'Cash Flows Cumulative'!D28</f>
        <v>0</v>
      </c>
      <c r="F28" s="61">
        <f t="shared" si="33"/>
        <v>0</v>
      </c>
      <c r="G28" s="11">
        <f>'Cash Flows Cumulative'!G28</f>
        <v>0</v>
      </c>
      <c r="H28" s="11">
        <f>'Cash Flows Cumulative'!H28-'Cash Flows Cumulative'!G28</f>
        <v>0</v>
      </c>
      <c r="I28" s="11">
        <f>'Cash Flows Cumulative'!I28-'Cash Flows Cumulative'!H28</f>
        <v>0</v>
      </c>
      <c r="J28" s="11">
        <f>'Cash Flows Cumulative'!J28-'Cash Flows Cumulative'!I28</f>
        <v>0</v>
      </c>
      <c r="K28" s="61">
        <f t="shared" si="34"/>
        <v>0</v>
      </c>
      <c r="L28" s="11">
        <f>'Cash Flows Cumulative'!L28</f>
        <v>0</v>
      </c>
      <c r="M28" s="11">
        <f>'Cash Flows Cumulative'!M28-'Cash Flows Cumulative'!L28</f>
        <v>0</v>
      </c>
      <c r="N28" s="11">
        <f>'Cash Flows Cumulative'!N28-'Cash Flows Cumulative'!M28</f>
        <v>0</v>
      </c>
      <c r="O28" s="11">
        <f>'Cash Flows Cumulative'!O28-'Cash Flows Cumulative'!N28</f>
        <v>0</v>
      </c>
      <c r="P28" s="61">
        <f t="shared" si="35"/>
        <v>0</v>
      </c>
      <c r="Q28" s="11">
        <f>'Cash Flows Cumulative'!Q28</f>
        <v>0</v>
      </c>
      <c r="R28" s="11">
        <f>'Cash Flows Cumulative'!R28-'Cash Flows Cumulative'!Q28</f>
        <v>0</v>
      </c>
      <c r="S28" s="11">
        <f>'Cash Flows Cumulative'!S28-'Cash Flows Cumulative'!R28</f>
        <v>0</v>
      </c>
      <c r="T28" s="11">
        <f>'Cash Flows Cumulative'!T28-'Cash Flows Cumulative'!S28</f>
        <v>0</v>
      </c>
      <c r="U28" s="61">
        <f t="shared" si="36"/>
        <v>0</v>
      </c>
      <c r="V28" s="11">
        <f>'Cash Flows Cumulative'!V28</f>
        <v>0</v>
      </c>
      <c r="W28" s="11">
        <f>'Cash Flows Cumulative'!W28-'Cash Flows Cumulative'!V28</f>
        <v>0</v>
      </c>
      <c r="X28" s="11">
        <f>'Cash Flows Cumulative'!X28-'Cash Flows Cumulative'!W28</f>
        <v>0</v>
      </c>
      <c r="Y28" s="11">
        <f>'Cash Flows Cumulative'!Y28-'Cash Flows Cumulative'!X28</f>
        <v>0</v>
      </c>
      <c r="Z28" s="61">
        <f t="shared" si="37"/>
        <v>0</v>
      </c>
      <c r="AA28" s="11">
        <f>'Cash Flows Cumulative'!AA28</f>
        <v>0</v>
      </c>
      <c r="AB28" s="11">
        <f>'Cash Flows Cumulative'!AB28-'Cash Flows Cumulative'!AA28</f>
        <v>0</v>
      </c>
      <c r="AC28" s="11">
        <f>'Cash Flows Cumulative'!AC28-'Cash Flows Cumulative'!AB28</f>
        <v>0</v>
      </c>
      <c r="AD28" s="11">
        <f>'Cash Flows Cumulative'!AD28-'Cash Flows Cumulative'!AC28</f>
        <v>0</v>
      </c>
      <c r="AE28" s="61">
        <f t="shared" si="38"/>
        <v>0</v>
      </c>
      <c r="AF28" s="11">
        <f>'Cash Flows Cumulative'!AF28</f>
        <v>0</v>
      </c>
      <c r="AG28" s="11">
        <f>'Cash Flows Cumulative'!AG28-'Cash Flows Cumulative'!AF28</f>
        <v>0</v>
      </c>
      <c r="AH28" s="11">
        <f>'Cash Flows Cumulative'!AH28-'Cash Flows Cumulative'!AG28</f>
        <v>0</v>
      </c>
      <c r="AI28" s="11">
        <f>'Cash Flows Cumulative'!AI28-'Cash Flows Cumulative'!AH28</f>
        <v>0</v>
      </c>
      <c r="AJ28" s="61">
        <f t="shared" si="39"/>
        <v>0</v>
      </c>
      <c r="AK28" s="11">
        <f>'Cash Flows Cumulative'!AK28</f>
        <v>0</v>
      </c>
      <c r="AL28" s="11">
        <f>'Cash Flows Cumulative'!AL28-'Cash Flows Cumulative'!AK28</f>
        <v>0</v>
      </c>
      <c r="AM28" s="11">
        <f>'Cash Flows Cumulative'!AM28-'Cash Flows Cumulative'!AL28</f>
        <v>0</v>
      </c>
      <c r="AN28" s="11">
        <f>'Cash Flows Cumulative'!AN28-'Cash Flows Cumulative'!AM28</f>
        <v>0</v>
      </c>
      <c r="AO28" s="61">
        <f t="shared" si="40"/>
        <v>0</v>
      </c>
      <c r="AP28" s="11">
        <f>'Cash Flows Cumulative'!AP28</f>
        <v>0</v>
      </c>
      <c r="AQ28" s="11">
        <f>'Cash Flows Cumulative'!AQ28-'Cash Flows Cumulative'!AP28</f>
        <v>0</v>
      </c>
      <c r="AR28" s="11">
        <f>'Cash Flows Cumulative'!AR28-'Cash Flows Cumulative'!AQ28</f>
        <v>-2000</v>
      </c>
      <c r="AS28" s="11">
        <f>'Cash Flows Cumulative'!AS28-'Cash Flows Cumulative'!AR28</f>
        <v>0</v>
      </c>
      <c r="AT28" s="61">
        <f t="shared" si="41"/>
        <v>-2000</v>
      </c>
      <c r="AU28" s="11">
        <f>'Cash Flows Cumulative'!AU28</f>
        <v>0</v>
      </c>
      <c r="AV28" s="11">
        <f>'Cash Flows Cumulative'!AV28-'Cash Flows Cumulative'!AU28</f>
        <v>0</v>
      </c>
      <c r="AW28" s="11">
        <f>'Cash Flows Cumulative'!AW28-'Cash Flows Cumulative'!AV28</f>
        <v>0</v>
      </c>
      <c r="AX28" s="11">
        <f>'Cash Flows Cumulative'!AX28-'Cash Flows Cumulative'!AW28</f>
        <v>0</v>
      </c>
      <c r="AY28" s="61">
        <f t="shared" si="42"/>
        <v>0</v>
      </c>
      <c r="AZ28" s="11">
        <f>'Cash Flows Cumulative'!AZ28</f>
        <v>0</v>
      </c>
      <c r="BA28" s="11">
        <f>'Cash Flows Cumulative'!BA28-'Cash Flows Cumulative'!AZ28</f>
        <v>0</v>
      </c>
      <c r="BB28" s="11">
        <f>'Cash Flows Cumulative'!BB28-'Cash Flows Cumulative'!BA28</f>
        <v>0</v>
      </c>
      <c r="BC28" s="11">
        <f>'Cash Flows Cumulative'!BC28-'Cash Flows Cumulative'!BB28</f>
        <v>0</v>
      </c>
      <c r="BD28" s="61">
        <f t="shared" si="43"/>
        <v>0</v>
      </c>
      <c r="BE28" s="11">
        <f>'Cash Flows Cumulative'!BE28</f>
        <v>0</v>
      </c>
      <c r="BF28" s="11">
        <f>'Cash Flows Cumulative'!BF28-'Cash Flows Cumulative'!BE28</f>
        <v>0</v>
      </c>
      <c r="BG28" s="11">
        <f>'Cash Flows Cumulative'!BG28-'Cash Flows Cumulative'!BF28</f>
        <v>0</v>
      </c>
      <c r="BH28" s="11">
        <f>'Cash Flows Cumulative'!BH28-'Cash Flows Cumulative'!BG28</f>
        <v>0</v>
      </c>
      <c r="BI28" s="61">
        <f t="shared" si="44"/>
        <v>0</v>
      </c>
      <c r="BJ28" s="11">
        <f>'Cash Flows Cumulative'!BJ28</f>
        <v>0</v>
      </c>
      <c r="BK28" s="11">
        <f>'Cash Flows Cumulative'!BK28-'Cash Flows Cumulative'!BJ28</f>
        <v>0</v>
      </c>
      <c r="BL28" s="11">
        <f>'Cash Flows Cumulative'!BL28-'Cash Flows Cumulative'!BK28</f>
        <v>0</v>
      </c>
      <c r="BM28" s="11">
        <f>'Cash Flows Cumulative'!BM28-'Cash Flows Cumulative'!BL28</f>
        <v>0</v>
      </c>
      <c r="BN28" s="61">
        <f t="shared" si="45"/>
        <v>0</v>
      </c>
      <c r="BO28" s="11">
        <f>'Cash Flows Cumulative'!BO28</f>
        <v>0</v>
      </c>
      <c r="BP28" s="11">
        <f>'Cash Flows Cumulative'!BP28-'Cash Flows Cumulative'!BO28</f>
        <v>0</v>
      </c>
      <c r="BQ28" s="11">
        <f>'Cash Flows Cumulative'!BQ28-'Cash Flows Cumulative'!BP28</f>
        <v>0</v>
      </c>
      <c r="BR28" s="11">
        <f>'Cash Flows Cumulative'!BR28-'Cash Flows Cumulative'!BQ28</f>
        <v>0</v>
      </c>
      <c r="BS28" s="61">
        <f t="shared" si="46"/>
        <v>0</v>
      </c>
      <c r="BT28" s="11">
        <f>'Cash Flows Cumulative'!BT28</f>
        <v>0</v>
      </c>
      <c r="BU28" s="11">
        <f>'Cash Flows Cumulative'!BU28-'Cash Flows Cumulative'!BT28</f>
        <v>0</v>
      </c>
      <c r="BV28" s="11">
        <f>'Cash Flows Cumulative'!BV28-'Cash Flows Cumulative'!BU28</f>
        <v>0</v>
      </c>
      <c r="BW28" s="11">
        <f>'Cash Flows Cumulative'!BW28-'Cash Flows Cumulative'!BV28</f>
        <v>0</v>
      </c>
      <c r="BX28" s="61">
        <f t="shared" si="47"/>
        <v>0</v>
      </c>
      <c r="BY28" s="11">
        <f>'Cash Flows Cumulative'!BY28</f>
        <v>0</v>
      </c>
      <c r="BZ28" s="11">
        <f>'Cash Flows Cumulative'!BZ28-'Cash Flows Cumulative'!BY28</f>
        <v>0</v>
      </c>
      <c r="CA28" s="11">
        <f>'Cash Flows Cumulative'!CA28-'Cash Flows Cumulative'!BZ28</f>
        <v>0</v>
      </c>
      <c r="CB28" s="11">
        <f>'Cash Flows Cumulative'!CB28-'Cash Flows Cumulative'!CA28</f>
        <v>0</v>
      </c>
      <c r="CC28" s="61">
        <f t="shared" si="48"/>
        <v>0</v>
      </c>
      <c r="CD28" s="11">
        <f>'Cash Flows Cumulative'!CD28</f>
        <v>0</v>
      </c>
      <c r="CE28" s="103">
        <f>'Cash Flows Cumulative'!CE28-'Cash Flows Cumulative'!CD28</f>
        <v>0</v>
      </c>
      <c r="CF28" s="103">
        <f>'Cash Flows Cumulative'!CF28-'Cash Flows Cumulative'!CE28</f>
        <v>0</v>
      </c>
      <c r="CG28" s="103">
        <f>'Cash Flows Cumulative'!CG28-'Cash Flows Cumulative'!CF28</f>
        <v>0</v>
      </c>
      <c r="CH28" s="61">
        <f t="shared" si="49"/>
        <v>0</v>
      </c>
      <c r="CI28" s="11">
        <f>'Cash Flows Cumulative'!CI28</f>
        <v>0</v>
      </c>
      <c r="CJ28" s="11">
        <f>'Cash Flows Cumulative'!CJ28-'Cash Flows Cumulative'!CI28</f>
        <v>0</v>
      </c>
      <c r="CK28" s="11">
        <f>'Cash Flows Cumulative'!CK28-'Cash Flows Cumulative'!CJ28</f>
        <v>0</v>
      </c>
      <c r="CL28" s="11">
        <f>'Cash Flows Cumulative'!CL28-'Cash Flows Cumulative'!CK28</f>
        <v>0</v>
      </c>
      <c r="CM28" s="61">
        <f t="shared" si="50"/>
        <v>0</v>
      </c>
      <c r="CN28" s="11">
        <f>'Cash Flows Cumulative'!CN28</f>
        <v>0</v>
      </c>
      <c r="CO28" s="11">
        <f>'Cash Flows Cumulative'!CO28-'Cash Flows Cumulative'!CN28</f>
        <v>0</v>
      </c>
      <c r="CP28" s="11"/>
      <c r="CQ28" s="11"/>
      <c r="CR28" s="61">
        <f t="shared" si="51"/>
        <v>0</v>
      </c>
    </row>
    <row r="29" spans="1:96" ht="11.15" customHeight="1" x14ac:dyDescent="0.2">
      <c r="A29" s="21" t="s">
        <v>66</v>
      </c>
      <c r="B29" s="11">
        <f>'Cash Flows Cumulative'!B29</f>
        <v>0</v>
      </c>
      <c r="C29" s="11">
        <f>'Cash Flows Cumulative'!C29-'Cash Flows Cumulative'!B29</f>
        <v>20</v>
      </c>
      <c r="D29" s="11">
        <f>'Cash Flows Cumulative'!D29-'Cash Flows Cumulative'!C29</f>
        <v>103</v>
      </c>
      <c r="E29" s="11">
        <f>'Cash Flows Cumulative'!E29-'Cash Flows Cumulative'!D29</f>
        <v>-33</v>
      </c>
      <c r="F29" s="61">
        <f t="shared" si="33"/>
        <v>90</v>
      </c>
      <c r="G29" s="11">
        <f>'Cash Flows Cumulative'!G29</f>
        <v>57</v>
      </c>
      <c r="H29" s="11">
        <f>'Cash Flows Cumulative'!H29-'Cash Flows Cumulative'!G29</f>
        <v>21</v>
      </c>
      <c r="I29" s="11">
        <f>'Cash Flows Cumulative'!I29-'Cash Flows Cumulative'!H29</f>
        <v>0</v>
      </c>
      <c r="J29" s="11">
        <f>'Cash Flows Cumulative'!J29-'Cash Flows Cumulative'!I29</f>
        <v>0</v>
      </c>
      <c r="K29" s="61">
        <f t="shared" si="34"/>
        <v>78</v>
      </c>
      <c r="L29" s="11">
        <f>'Cash Flows Cumulative'!L29</f>
        <v>0</v>
      </c>
      <c r="M29" s="11">
        <f>'Cash Flows Cumulative'!M29-'Cash Flows Cumulative'!L29</f>
        <v>0</v>
      </c>
      <c r="N29" s="11">
        <f>'Cash Flows Cumulative'!N29-'Cash Flows Cumulative'!M29</f>
        <v>0</v>
      </c>
      <c r="O29" s="11">
        <f>'Cash Flows Cumulative'!O29-'Cash Flows Cumulative'!N29</f>
        <v>0</v>
      </c>
      <c r="P29" s="61">
        <f t="shared" si="35"/>
        <v>0</v>
      </c>
      <c r="Q29" s="11">
        <f>'Cash Flows Cumulative'!Q29</f>
        <v>0</v>
      </c>
      <c r="R29" s="11">
        <f>'Cash Flows Cumulative'!R29-'Cash Flows Cumulative'!Q29</f>
        <v>0</v>
      </c>
      <c r="S29" s="11">
        <f>'Cash Flows Cumulative'!S29-'Cash Flows Cumulative'!R29</f>
        <v>0</v>
      </c>
      <c r="T29" s="11">
        <f>'Cash Flows Cumulative'!T29-'Cash Flows Cumulative'!S29</f>
        <v>0</v>
      </c>
      <c r="U29" s="61">
        <f t="shared" si="36"/>
        <v>0</v>
      </c>
      <c r="V29" s="11">
        <f>'Cash Flows Cumulative'!V29</f>
        <v>0</v>
      </c>
      <c r="W29" s="11">
        <f>'Cash Flows Cumulative'!W29-'Cash Flows Cumulative'!V29</f>
        <v>0</v>
      </c>
      <c r="X29" s="11">
        <f>'Cash Flows Cumulative'!X29-'Cash Flows Cumulative'!W29</f>
        <v>0</v>
      </c>
      <c r="Y29" s="11">
        <f>'Cash Flows Cumulative'!Y29-'Cash Flows Cumulative'!X29</f>
        <v>0</v>
      </c>
      <c r="Z29" s="61">
        <f t="shared" si="37"/>
        <v>0</v>
      </c>
      <c r="AA29" s="11">
        <f>'Cash Flows Cumulative'!AA29</f>
        <v>0</v>
      </c>
      <c r="AB29" s="11">
        <f>'Cash Flows Cumulative'!AB29-'Cash Flows Cumulative'!AA29</f>
        <v>0</v>
      </c>
      <c r="AC29" s="11">
        <f>'Cash Flows Cumulative'!AC29-'Cash Flows Cumulative'!AB29</f>
        <v>0</v>
      </c>
      <c r="AD29" s="11">
        <f>'Cash Flows Cumulative'!AD29-'Cash Flows Cumulative'!AC29</f>
        <v>0</v>
      </c>
      <c r="AE29" s="61">
        <f t="shared" si="38"/>
        <v>0</v>
      </c>
      <c r="AF29" s="11">
        <f>'Cash Flows Cumulative'!AF29</f>
        <v>0</v>
      </c>
      <c r="AG29" s="11">
        <f>'Cash Flows Cumulative'!AG29-'Cash Flows Cumulative'!AF29</f>
        <v>0</v>
      </c>
      <c r="AH29" s="11">
        <f>'Cash Flows Cumulative'!AH29-'Cash Flows Cumulative'!AG29</f>
        <v>0</v>
      </c>
      <c r="AI29" s="11">
        <f>'Cash Flows Cumulative'!AI29-'Cash Flows Cumulative'!AH29</f>
        <v>0</v>
      </c>
      <c r="AJ29" s="61">
        <f t="shared" si="39"/>
        <v>0</v>
      </c>
      <c r="AK29" s="11">
        <f>'Cash Flows Cumulative'!AK29</f>
        <v>89</v>
      </c>
      <c r="AL29" s="11">
        <f>'Cash Flows Cumulative'!AL29-'Cash Flows Cumulative'!AK29</f>
        <v>77</v>
      </c>
      <c r="AM29" s="11">
        <f>'Cash Flows Cumulative'!AM29-'Cash Flows Cumulative'!AL29</f>
        <v>36</v>
      </c>
      <c r="AN29" s="11">
        <f>'Cash Flows Cumulative'!AN29-'Cash Flows Cumulative'!AM29</f>
        <v>34</v>
      </c>
      <c r="AO29" s="61">
        <f t="shared" si="40"/>
        <v>236</v>
      </c>
      <c r="AP29" s="11">
        <f>'Cash Flows Cumulative'!AP29</f>
        <v>119</v>
      </c>
      <c r="AQ29" s="11">
        <f>'Cash Flows Cumulative'!AQ29-'Cash Flows Cumulative'!AP29</f>
        <v>135</v>
      </c>
      <c r="AR29" s="11">
        <f>'Cash Flows Cumulative'!AR29-'Cash Flows Cumulative'!AQ29</f>
        <v>164</v>
      </c>
      <c r="AS29" s="11">
        <f>'Cash Flows Cumulative'!AS29-'Cash Flows Cumulative'!AR29</f>
        <v>16</v>
      </c>
      <c r="AT29" s="61">
        <f t="shared" si="41"/>
        <v>434</v>
      </c>
      <c r="AU29" s="11">
        <f>'Cash Flows Cumulative'!AU29</f>
        <v>131</v>
      </c>
      <c r="AV29" s="11">
        <f>'Cash Flows Cumulative'!AV29-'Cash Flows Cumulative'!AU29</f>
        <v>8</v>
      </c>
      <c r="AW29" s="11">
        <f>'Cash Flows Cumulative'!AW29-'Cash Flows Cumulative'!AV29</f>
        <v>92</v>
      </c>
      <c r="AX29" s="11">
        <f>'Cash Flows Cumulative'!AX29-'Cash Flows Cumulative'!AW29</f>
        <v>-67</v>
      </c>
      <c r="AY29" s="61">
        <f t="shared" si="42"/>
        <v>164</v>
      </c>
      <c r="AZ29" s="11">
        <f>'Cash Flows Cumulative'!AZ29</f>
        <v>129</v>
      </c>
      <c r="BA29" s="11">
        <f>'Cash Flows Cumulative'!BA29-'Cash Flows Cumulative'!AZ29</f>
        <v>55</v>
      </c>
      <c r="BB29" s="11">
        <f>'Cash Flows Cumulative'!BB29-'Cash Flows Cumulative'!BA29</f>
        <v>1657</v>
      </c>
      <c r="BC29" s="11">
        <f>'Cash Flows Cumulative'!BC29-'Cash Flows Cumulative'!BB29</f>
        <v>-1183</v>
      </c>
      <c r="BD29" s="61">
        <f t="shared" si="43"/>
        <v>658</v>
      </c>
      <c r="BE29" s="11">
        <f>'Cash Flows Cumulative'!BE29</f>
        <v>99</v>
      </c>
      <c r="BF29" s="11">
        <f>'Cash Flows Cumulative'!BF29-'Cash Flows Cumulative'!BE29</f>
        <v>15185</v>
      </c>
      <c r="BG29" s="11">
        <f>'Cash Flows Cumulative'!BG29-'Cash Flows Cumulative'!BF29</f>
        <v>153</v>
      </c>
      <c r="BH29" s="11">
        <f>'Cash Flows Cumulative'!BH29-'Cash Flows Cumulative'!BG29</f>
        <v>445</v>
      </c>
      <c r="BI29" s="61">
        <f t="shared" si="44"/>
        <v>15882</v>
      </c>
      <c r="BJ29" s="11">
        <f>'Cash Flows Cumulative'!BJ29</f>
        <v>210</v>
      </c>
      <c r="BK29" s="11">
        <f>'Cash Flows Cumulative'!BK29-'Cash Flows Cumulative'!BJ29</f>
        <v>431</v>
      </c>
      <c r="BL29" s="11">
        <f>'Cash Flows Cumulative'!BL29-'Cash Flows Cumulative'!BK29</f>
        <v>114</v>
      </c>
      <c r="BM29" s="11">
        <f>'Cash Flows Cumulative'!BM29-'Cash Flows Cumulative'!BL29</f>
        <v>271</v>
      </c>
      <c r="BN29" s="61">
        <f t="shared" si="45"/>
        <v>1026</v>
      </c>
      <c r="BO29" s="11">
        <f>'Cash Flows Cumulative'!BO29</f>
        <v>181</v>
      </c>
      <c r="BP29" s="11">
        <f>'Cash Flows Cumulative'!BP29-'Cash Flows Cumulative'!BO29</f>
        <v>107</v>
      </c>
      <c r="BQ29" s="11">
        <f>'Cash Flows Cumulative'!BQ29-'Cash Flows Cumulative'!BP29</f>
        <v>60</v>
      </c>
      <c r="BR29" s="11">
        <f>'Cash Flows Cumulative'!BR29-'Cash Flows Cumulative'!BQ29</f>
        <v>313</v>
      </c>
      <c r="BS29" s="61">
        <f t="shared" si="46"/>
        <v>661</v>
      </c>
      <c r="BT29" s="11">
        <f>'Cash Flows Cumulative'!BT29</f>
        <v>139</v>
      </c>
      <c r="BU29" s="11">
        <f>'Cash Flows Cumulative'!BU29-'Cash Flows Cumulative'!BT29</f>
        <v>321</v>
      </c>
      <c r="BV29" s="11">
        <f>'Cash Flows Cumulative'!BV29-'Cash Flows Cumulative'!BU29</f>
        <v>229</v>
      </c>
      <c r="BW29" s="11">
        <f>'Cash Flows Cumulative'!BW29-'Cash Flows Cumulative'!BV29</f>
        <v>200</v>
      </c>
      <c r="BX29" s="61">
        <f t="shared" si="47"/>
        <v>889</v>
      </c>
      <c r="BY29" s="11">
        <f>'Cash Flows Cumulative'!BY29</f>
        <v>130</v>
      </c>
      <c r="BZ29" s="11">
        <f>'Cash Flows Cumulative'!BZ29-'Cash Flows Cumulative'!BY29</f>
        <v>128</v>
      </c>
      <c r="CA29" s="11">
        <f>'Cash Flows Cumulative'!CA29-'Cash Flows Cumulative'!BZ29</f>
        <v>601</v>
      </c>
      <c r="CB29" s="11">
        <f>'Cash Flows Cumulative'!CB29-'Cash Flows Cumulative'!CA29</f>
        <v>550</v>
      </c>
      <c r="CC29" s="61">
        <f t="shared" si="48"/>
        <v>1409</v>
      </c>
      <c r="CD29" s="11">
        <f>'Cash Flows Cumulative'!CD29</f>
        <v>428</v>
      </c>
      <c r="CE29" s="103">
        <f>'Cash Flows Cumulative'!CE29-'Cash Flows Cumulative'!CD29</f>
        <v>217</v>
      </c>
      <c r="CF29" s="103">
        <f>'Cash Flows Cumulative'!CF29-'Cash Flows Cumulative'!CE29</f>
        <v>192</v>
      </c>
      <c r="CG29" s="103">
        <f>'Cash Flows Cumulative'!CG29-'Cash Flows Cumulative'!CF29</f>
        <v>26025</v>
      </c>
      <c r="CH29" s="61">
        <f t="shared" si="49"/>
        <v>26862</v>
      </c>
      <c r="CI29" s="11">
        <f>'Cash Flows Cumulative'!CI29</f>
        <v>1600</v>
      </c>
      <c r="CJ29" s="11">
        <f>'Cash Flows Cumulative'!CJ29-'Cash Flows Cumulative'!CI29</f>
        <v>140</v>
      </c>
      <c r="CK29" s="11">
        <f>'Cash Flows Cumulative'!CK29-'Cash Flows Cumulative'!CJ29</f>
        <v>28685</v>
      </c>
      <c r="CL29" s="11">
        <f>'Cash Flows Cumulative'!CL29-'Cash Flows Cumulative'!CK29</f>
        <v>816</v>
      </c>
      <c r="CM29" s="61">
        <f t="shared" si="50"/>
        <v>31241</v>
      </c>
      <c r="CN29" s="11">
        <f>'Cash Flows Cumulative'!CN29</f>
        <v>25262</v>
      </c>
      <c r="CO29" s="11">
        <f>'Cash Flows Cumulative'!CO29-'Cash Flows Cumulative'!CN29</f>
        <v>3012</v>
      </c>
      <c r="CP29" s="11"/>
      <c r="CQ29" s="11"/>
      <c r="CR29" s="61">
        <f t="shared" si="51"/>
        <v>28274</v>
      </c>
    </row>
    <row r="30" spans="1:96" ht="11.15" customHeight="1" x14ac:dyDescent="0.2">
      <c r="A30" s="21" t="s">
        <v>67</v>
      </c>
      <c r="B30" s="11">
        <f>'Cash Flows Cumulative'!B30</f>
        <v>0</v>
      </c>
      <c r="C30" s="11">
        <f>'Cash Flows Cumulative'!C30-'Cash Flows Cumulative'!B30</f>
        <v>0</v>
      </c>
      <c r="D30" s="11">
        <f>'Cash Flows Cumulative'!D30-'Cash Flows Cumulative'!C30</f>
        <v>0</v>
      </c>
      <c r="E30" s="11">
        <f>'Cash Flows Cumulative'!E30-'Cash Flows Cumulative'!D30</f>
        <v>0</v>
      </c>
      <c r="F30" s="61">
        <f t="shared" si="33"/>
        <v>0</v>
      </c>
      <c r="G30" s="11">
        <f>'Cash Flows Cumulative'!G30</f>
        <v>0</v>
      </c>
      <c r="H30" s="11">
        <f>'Cash Flows Cumulative'!H30-'Cash Flows Cumulative'!G30</f>
        <v>0</v>
      </c>
      <c r="I30" s="11">
        <f>'Cash Flows Cumulative'!I30-'Cash Flows Cumulative'!H30</f>
        <v>0</v>
      </c>
      <c r="J30" s="11">
        <f>'Cash Flows Cumulative'!J30-'Cash Flows Cumulative'!I30</f>
        <v>-6950</v>
      </c>
      <c r="K30" s="61">
        <f t="shared" si="34"/>
        <v>-6950</v>
      </c>
      <c r="L30" s="11">
        <f>'Cash Flows Cumulative'!L30</f>
        <v>0</v>
      </c>
      <c r="M30" s="11">
        <f>'Cash Flows Cumulative'!M30-'Cash Flows Cumulative'!L30</f>
        <v>0</v>
      </c>
      <c r="N30" s="11">
        <f>'Cash Flows Cumulative'!N30-'Cash Flows Cumulative'!M30</f>
        <v>0</v>
      </c>
      <c r="O30" s="11">
        <f>'Cash Flows Cumulative'!O30-'Cash Flows Cumulative'!N30</f>
        <v>0</v>
      </c>
      <c r="P30" s="61">
        <f t="shared" si="35"/>
        <v>0</v>
      </c>
      <c r="Q30" s="11">
        <f>'Cash Flows Cumulative'!Q30</f>
        <v>0</v>
      </c>
      <c r="R30" s="11">
        <f>'Cash Flows Cumulative'!R30-'Cash Flows Cumulative'!Q30</f>
        <v>0</v>
      </c>
      <c r="S30" s="11">
        <f>'Cash Flows Cumulative'!S30-'Cash Flows Cumulative'!R30</f>
        <v>0</v>
      </c>
      <c r="T30" s="11">
        <f>'Cash Flows Cumulative'!T30-'Cash Flows Cumulative'!S30</f>
        <v>0</v>
      </c>
      <c r="U30" s="61">
        <f t="shared" si="36"/>
        <v>0</v>
      </c>
      <c r="V30" s="11">
        <f>'Cash Flows Cumulative'!V30</f>
        <v>0</v>
      </c>
      <c r="W30" s="11">
        <f>'Cash Flows Cumulative'!W30-'Cash Flows Cumulative'!V30</f>
        <v>0</v>
      </c>
      <c r="X30" s="11">
        <f>'Cash Flows Cumulative'!X30-'Cash Flows Cumulative'!W30</f>
        <v>0</v>
      </c>
      <c r="Y30" s="11">
        <f>'Cash Flows Cumulative'!Y30-'Cash Flows Cumulative'!X30</f>
        <v>0</v>
      </c>
      <c r="Z30" s="61">
        <f t="shared" si="37"/>
        <v>0</v>
      </c>
      <c r="AA30" s="11">
        <f>'Cash Flows Cumulative'!AA30</f>
        <v>0</v>
      </c>
      <c r="AB30" s="11">
        <f>'Cash Flows Cumulative'!AB30-'Cash Flows Cumulative'!AA30</f>
        <v>0</v>
      </c>
      <c r="AC30" s="11">
        <f>'Cash Flows Cumulative'!AC30-'Cash Flows Cumulative'!AB30</f>
        <v>0</v>
      </c>
      <c r="AD30" s="11">
        <f>'Cash Flows Cumulative'!AD30-'Cash Flows Cumulative'!AC30</f>
        <v>0</v>
      </c>
      <c r="AE30" s="61">
        <f t="shared" si="38"/>
        <v>0</v>
      </c>
      <c r="AF30" s="11">
        <f>'Cash Flows Cumulative'!AF30</f>
        <v>0</v>
      </c>
      <c r="AG30" s="11">
        <f>'Cash Flows Cumulative'!AG30-'Cash Flows Cumulative'!AF30</f>
        <v>0</v>
      </c>
      <c r="AH30" s="11">
        <f>'Cash Flows Cumulative'!AH30-'Cash Flows Cumulative'!AG30</f>
        <v>0</v>
      </c>
      <c r="AI30" s="11">
        <f>'Cash Flows Cumulative'!AI30-'Cash Flows Cumulative'!AH30</f>
        <v>0</v>
      </c>
      <c r="AJ30" s="61">
        <f t="shared" si="39"/>
        <v>0</v>
      </c>
      <c r="AK30" s="11">
        <f>'Cash Flows Cumulative'!AK30</f>
        <v>0</v>
      </c>
      <c r="AL30" s="11">
        <f>'Cash Flows Cumulative'!AL30-'Cash Flows Cumulative'!AK30</f>
        <v>0</v>
      </c>
      <c r="AM30" s="11">
        <f>'Cash Flows Cumulative'!AM30-'Cash Flows Cumulative'!AL30</f>
        <v>0</v>
      </c>
      <c r="AN30" s="11">
        <f>'Cash Flows Cumulative'!AN30-'Cash Flows Cumulative'!AM30</f>
        <v>0</v>
      </c>
      <c r="AO30" s="61">
        <f t="shared" si="40"/>
        <v>0</v>
      </c>
      <c r="AP30" s="11">
        <f>'Cash Flows Cumulative'!AP30</f>
        <v>0</v>
      </c>
      <c r="AQ30" s="11">
        <f>'Cash Flows Cumulative'!AQ30-'Cash Flows Cumulative'!AP30</f>
        <v>0</v>
      </c>
      <c r="AR30" s="11">
        <f>'Cash Flows Cumulative'!AR30-'Cash Flows Cumulative'!AQ30</f>
        <v>0</v>
      </c>
      <c r="AS30" s="11">
        <f>'Cash Flows Cumulative'!AS30-'Cash Flows Cumulative'!AR30</f>
        <v>0</v>
      </c>
      <c r="AT30" s="61">
        <f t="shared" si="41"/>
        <v>0</v>
      </c>
      <c r="AU30" s="11">
        <f>'Cash Flows Cumulative'!AU30</f>
        <v>0</v>
      </c>
      <c r="AV30" s="11">
        <f>'Cash Flows Cumulative'!AV30-'Cash Flows Cumulative'!AU30</f>
        <v>0</v>
      </c>
      <c r="AW30" s="11">
        <f>'Cash Flows Cumulative'!AW30-'Cash Flows Cumulative'!AV30</f>
        <v>0</v>
      </c>
      <c r="AX30" s="11">
        <f>'Cash Flows Cumulative'!AX30-'Cash Flows Cumulative'!AW30</f>
        <v>-106747</v>
      </c>
      <c r="AY30" s="61">
        <f t="shared" si="42"/>
        <v>-106747</v>
      </c>
      <c r="AZ30" s="11">
        <f>'Cash Flows Cumulative'!AZ30</f>
        <v>-29899</v>
      </c>
      <c r="BA30" s="11">
        <f>'Cash Flows Cumulative'!BA30-'Cash Flows Cumulative'!AZ30</f>
        <v>-32312</v>
      </c>
      <c r="BB30" s="11">
        <f>'Cash Flows Cumulative'!BB30-'Cash Flows Cumulative'!BA30</f>
        <v>-117163</v>
      </c>
      <c r="BC30" s="11">
        <f>'Cash Flows Cumulative'!BC30-'Cash Flows Cumulative'!BB30</f>
        <v>-120134</v>
      </c>
      <c r="BD30" s="61">
        <f t="shared" si="43"/>
        <v>-299508</v>
      </c>
      <c r="BE30" s="11">
        <f>'Cash Flows Cumulative'!BE30</f>
        <v>-28173</v>
      </c>
      <c r="BF30" s="11">
        <f>'Cash Flows Cumulative'!BF30-'Cash Flows Cumulative'!BE30</f>
        <v>-43071</v>
      </c>
      <c r="BG30" s="11">
        <f>'Cash Flows Cumulative'!BG30-'Cash Flows Cumulative'!BF30</f>
        <v>-75341</v>
      </c>
      <c r="BH30" s="11">
        <f>'Cash Flows Cumulative'!BH30-'Cash Flows Cumulative'!BG30</f>
        <v>-65247</v>
      </c>
      <c r="BI30" s="61">
        <f t="shared" si="44"/>
        <v>-211832</v>
      </c>
      <c r="BJ30" s="11">
        <f>'Cash Flows Cumulative'!BJ30</f>
        <v>-70777</v>
      </c>
      <c r="BK30" s="11">
        <f>'Cash Flows Cumulative'!BK30-'Cash Flows Cumulative'!BJ30</f>
        <v>-219053</v>
      </c>
      <c r="BL30" s="11">
        <f>'Cash Flows Cumulative'!BL30-'Cash Flows Cumulative'!BK30</f>
        <v>-276668</v>
      </c>
      <c r="BM30" s="11">
        <f>'Cash Flows Cumulative'!BM30-'Cash Flows Cumulative'!BL30</f>
        <v>-198812</v>
      </c>
      <c r="BN30" s="61">
        <f t="shared" si="45"/>
        <v>-765310</v>
      </c>
      <c r="BO30" s="11">
        <f>'Cash Flows Cumulative'!BO30</f>
        <v>-178101</v>
      </c>
      <c r="BP30" s="11">
        <f>'Cash Flows Cumulative'!BP30-'Cash Flows Cumulative'!BO30</f>
        <v>-161727</v>
      </c>
      <c r="BQ30" s="11">
        <f>'Cash Flows Cumulative'!BQ30-'Cash Flows Cumulative'!BP30</f>
        <v>-217846</v>
      </c>
      <c r="BR30" s="11">
        <f>'Cash Flows Cumulative'!BR30-'Cash Flows Cumulative'!BQ30</f>
        <v>1325752</v>
      </c>
      <c r="BS30" s="61">
        <f t="shared" si="46"/>
        <v>768078</v>
      </c>
      <c r="BT30" s="11">
        <f>'Cash Flows Cumulative'!BT30</f>
        <v>-308195</v>
      </c>
      <c r="BU30" s="11">
        <f>'Cash Flows Cumulative'!BU30-'Cash Flows Cumulative'!BT30</f>
        <v>-113126</v>
      </c>
      <c r="BV30" s="11">
        <f>'Cash Flows Cumulative'!BV30-'Cash Flows Cumulative'!BU30</f>
        <v>-311408</v>
      </c>
      <c r="BW30" s="11">
        <f>'Cash Flows Cumulative'!BW30-'Cash Flows Cumulative'!BV30</f>
        <v>-378826</v>
      </c>
      <c r="BX30" s="61">
        <f t="shared" si="47"/>
        <v>-1111555</v>
      </c>
      <c r="BY30" s="11">
        <f>'Cash Flows Cumulative'!BY30</f>
        <v>-513564</v>
      </c>
      <c r="BZ30" s="11">
        <f>'Cash Flows Cumulative'!BZ30-'Cash Flows Cumulative'!BY30</f>
        <v>-500469</v>
      </c>
      <c r="CA30" s="11">
        <f>'Cash Flows Cumulative'!CA30-'Cash Flows Cumulative'!BZ30</f>
        <v>-423160</v>
      </c>
      <c r="CB30" s="11">
        <f>'Cash Flows Cumulative'!CB30-'Cash Flows Cumulative'!CA30</f>
        <v>-503412</v>
      </c>
      <c r="CC30" s="61">
        <f t="shared" si="48"/>
        <v>-1940605</v>
      </c>
      <c r="CD30" s="11">
        <f>'Cash Flows Cumulative'!CD30</f>
        <v>-475435</v>
      </c>
      <c r="CE30" s="103">
        <f>'Cash Flows Cumulative'!CE30-'Cash Flows Cumulative'!CD30</f>
        <v>-108393</v>
      </c>
      <c r="CF30" s="103">
        <f>'Cash Flows Cumulative'!CF30-'Cash Flows Cumulative'!CE30</f>
        <v>-330770</v>
      </c>
      <c r="CG30" s="103">
        <f>'Cash Flows Cumulative'!CG30-'Cash Flows Cumulative'!CF30</f>
        <v>-202424</v>
      </c>
      <c r="CH30" s="61">
        <f t="shared" si="49"/>
        <v>-1117022</v>
      </c>
      <c r="CI30" s="11">
        <f>'Cash Flows Cumulative'!CI30</f>
        <v>-343820</v>
      </c>
      <c r="CJ30" s="11">
        <f>'Cash Flows Cumulative'!CJ30-'Cash Flows Cumulative'!CI30</f>
        <v>-239527</v>
      </c>
      <c r="CK30" s="11">
        <f>'Cash Flows Cumulative'!CK30-'Cash Flows Cumulative'!CJ30</f>
        <v>-315108</v>
      </c>
      <c r="CL30" s="11">
        <f>'Cash Flows Cumulative'!CL30-'Cash Flows Cumulative'!CK30</f>
        <v>-334408</v>
      </c>
      <c r="CM30" s="61">
        <f t="shared" si="50"/>
        <v>-1232863</v>
      </c>
      <c r="CN30" s="11">
        <f>'Cash Flows Cumulative'!CN30</f>
        <v>-226521</v>
      </c>
      <c r="CO30" s="11">
        <f>'Cash Flows Cumulative'!CO30-'Cash Flows Cumulative'!CN30</f>
        <v>-75020</v>
      </c>
      <c r="CP30" s="11"/>
      <c r="CQ30" s="11"/>
      <c r="CR30" s="61">
        <f t="shared" si="51"/>
        <v>-301541</v>
      </c>
    </row>
    <row r="31" spans="1:96" ht="11.15" customHeight="1" x14ac:dyDescent="0.2">
      <c r="A31" s="21" t="s">
        <v>68</v>
      </c>
      <c r="B31" s="11">
        <f>'Cash Flows Cumulative'!B31</f>
        <v>0</v>
      </c>
      <c r="C31" s="11">
        <f>'Cash Flows Cumulative'!C31-'Cash Flows Cumulative'!B31</f>
        <v>0</v>
      </c>
      <c r="D31" s="11">
        <f>'Cash Flows Cumulative'!D31-'Cash Flows Cumulative'!C31</f>
        <v>0</v>
      </c>
      <c r="E31" s="11">
        <f>'Cash Flows Cumulative'!E31-'Cash Flows Cumulative'!D31</f>
        <v>0</v>
      </c>
      <c r="F31" s="61">
        <f t="shared" si="33"/>
        <v>0</v>
      </c>
      <c r="G31" s="11">
        <f>'Cash Flows Cumulative'!G31</f>
        <v>0</v>
      </c>
      <c r="H31" s="11">
        <f>'Cash Flows Cumulative'!H31-'Cash Flows Cumulative'!G31</f>
        <v>0</v>
      </c>
      <c r="I31" s="11">
        <f>'Cash Flows Cumulative'!I31-'Cash Flows Cumulative'!H31</f>
        <v>0</v>
      </c>
      <c r="J31" s="11">
        <f>'Cash Flows Cumulative'!J31-'Cash Flows Cumulative'!I31</f>
        <v>0</v>
      </c>
      <c r="K31" s="61">
        <f t="shared" si="34"/>
        <v>0</v>
      </c>
      <c r="L31" s="11">
        <f>'Cash Flows Cumulative'!L31</f>
        <v>4450</v>
      </c>
      <c r="M31" s="11">
        <f>'Cash Flows Cumulative'!M31-'Cash Flows Cumulative'!L31</f>
        <v>1000</v>
      </c>
      <c r="N31" s="11">
        <f>'Cash Flows Cumulative'!N31-'Cash Flows Cumulative'!M31</f>
        <v>0</v>
      </c>
      <c r="O31" s="11">
        <f>'Cash Flows Cumulative'!O31-'Cash Flows Cumulative'!N31</f>
        <v>0</v>
      </c>
      <c r="P31" s="61">
        <f t="shared" si="35"/>
        <v>5450</v>
      </c>
      <c r="Q31" s="11">
        <f>'Cash Flows Cumulative'!Q31</f>
        <v>0</v>
      </c>
      <c r="R31" s="11">
        <f>'Cash Flows Cumulative'!R31-'Cash Flows Cumulative'!Q31</f>
        <v>0</v>
      </c>
      <c r="S31" s="11">
        <f>'Cash Flows Cumulative'!S31-'Cash Flows Cumulative'!R31</f>
        <v>0</v>
      </c>
      <c r="T31" s="11">
        <f>'Cash Flows Cumulative'!T31-'Cash Flows Cumulative'!S31</f>
        <v>0</v>
      </c>
      <c r="U31" s="61">
        <f t="shared" si="36"/>
        <v>0</v>
      </c>
      <c r="V31" s="11">
        <f>'Cash Flows Cumulative'!V31</f>
        <v>0</v>
      </c>
      <c r="W31" s="11">
        <f>'Cash Flows Cumulative'!W31-'Cash Flows Cumulative'!V31</f>
        <v>0</v>
      </c>
      <c r="X31" s="11">
        <f>'Cash Flows Cumulative'!X31-'Cash Flows Cumulative'!W31</f>
        <v>0</v>
      </c>
      <c r="Y31" s="11">
        <f>'Cash Flows Cumulative'!Y31-'Cash Flows Cumulative'!X31</f>
        <v>0</v>
      </c>
      <c r="Z31" s="61">
        <f t="shared" si="37"/>
        <v>0</v>
      </c>
      <c r="AA31" s="11">
        <f>'Cash Flows Cumulative'!AA31</f>
        <v>0</v>
      </c>
      <c r="AB31" s="11">
        <f>'Cash Flows Cumulative'!AB31-'Cash Flows Cumulative'!AA31</f>
        <v>0</v>
      </c>
      <c r="AC31" s="11">
        <f>'Cash Flows Cumulative'!AC31-'Cash Flows Cumulative'!AB31</f>
        <v>0</v>
      </c>
      <c r="AD31" s="11">
        <f>'Cash Flows Cumulative'!AD31-'Cash Flows Cumulative'!AC31</f>
        <v>-25451</v>
      </c>
      <c r="AE31" s="61">
        <f t="shared" si="38"/>
        <v>-25451</v>
      </c>
      <c r="AF31" s="11">
        <f>'Cash Flows Cumulative'!AF31</f>
        <v>7001</v>
      </c>
      <c r="AG31" s="11">
        <f>'Cash Flows Cumulative'!AG31-'Cash Flows Cumulative'!AF31</f>
        <v>8686</v>
      </c>
      <c r="AH31" s="11">
        <f>'Cash Flows Cumulative'!AH31-'Cash Flows Cumulative'!AG31</f>
        <v>9765</v>
      </c>
      <c r="AI31" s="11">
        <f>'Cash Flows Cumulative'!AI31-'Cash Flows Cumulative'!AH31</f>
        <v>-1</v>
      </c>
      <c r="AJ31" s="61">
        <f t="shared" si="39"/>
        <v>25451</v>
      </c>
      <c r="AK31" s="11">
        <f>'Cash Flows Cumulative'!AK31</f>
        <v>0</v>
      </c>
      <c r="AL31" s="11">
        <f>'Cash Flows Cumulative'!AL31-'Cash Flows Cumulative'!AK31</f>
        <v>0</v>
      </c>
      <c r="AM31" s="11">
        <f>'Cash Flows Cumulative'!AM31-'Cash Flows Cumulative'!AL31</f>
        <v>0</v>
      </c>
      <c r="AN31" s="11">
        <f>'Cash Flows Cumulative'!AN31-'Cash Flows Cumulative'!AM31</f>
        <v>495</v>
      </c>
      <c r="AO31" s="61">
        <f t="shared" si="40"/>
        <v>495</v>
      </c>
      <c r="AP31" s="11">
        <f>'Cash Flows Cumulative'!AP31</f>
        <v>0</v>
      </c>
      <c r="AQ31" s="11">
        <f>'Cash Flows Cumulative'!AQ31-'Cash Flows Cumulative'!AP31</f>
        <v>0</v>
      </c>
      <c r="AR31" s="11">
        <f>'Cash Flows Cumulative'!AR31-'Cash Flows Cumulative'!AQ31</f>
        <v>0</v>
      </c>
      <c r="AS31" s="11">
        <f>'Cash Flows Cumulative'!AS31-'Cash Flows Cumulative'!AR31</f>
        <v>0</v>
      </c>
      <c r="AT31" s="61">
        <f t="shared" si="41"/>
        <v>0</v>
      </c>
      <c r="AU31" s="11">
        <f>'Cash Flows Cumulative'!AU31</f>
        <v>0</v>
      </c>
      <c r="AV31" s="11">
        <f>'Cash Flows Cumulative'!AV31-'Cash Flows Cumulative'!AU31</f>
        <v>0</v>
      </c>
      <c r="AW31" s="11">
        <f>'Cash Flows Cumulative'!AW31-'Cash Flows Cumulative'!AV31</f>
        <v>0</v>
      </c>
      <c r="AX31" s="11">
        <f>'Cash Flows Cumulative'!AX31-'Cash Flows Cumulative'!AW31</f>
        <v>0</v>
      </c>
      <c r="AY31" s="61">
        <f t="shared" si="42"/>
        <v>0</v>
      </c>
      <c r="AZ31" s="11">
        <f>'Cash Flows Cumulative'!AZ31</f>
        <v>10000</v>
      </c>
      <c r="BA31" s="11">
        <f>'Cash Flows Cumulative'!BA31-'Cash Flows Cumulative'!AZ31</f>
        <v>31720</v>
      </c>
      <c r="BB31" s="11">
        <f>'Cash Flows Cumulative'!BB31-'Cash Flows Cumulative'!BA31</f>
        <v>117088</v>
      </c>
      <c r="BC31" s="11">
        <f>'Cash Flows Cumulative'!BC31-'Cash Flows Cumulative'!BB31</f>
        <v>40000</v>
      </c>
      <c r="BD31" s="61">
        <f t="shared" si="43"/>
        <v>198808</v>
      </c>
      <c r="BE31" s="11">
        <f>'Cash Flows Cumulative'!BE31</f>
        <v>70370</v>
      </c>
      <c r="BF31" s="11">
        <f>'Cash Flows Cumulative'!BF31-'Cash Flows Cumulative'!BE31</f>
        <v>85801</v>
      </c>
      <c r="BG31" s="11">
        <f>'Cash Flows Cumulative'!BG31-'Cash Flows Cumulative'!BF31</f>
        <v>31972</v>
      </c>
      <c r="BH31" s="11">
        <f>'Cash Flows Cumulative'!BH31-'Cash Flows Cumulative'!BG31</f>
        <v>24372</v>
      </c>
      <c r="BI31" s="61">
        <f t="shared" si="44"/>
        <v>212515</v>
      </c>
      <c r="BJ31" s="11">
        <f>'Cash Flows Cumulative'!BJ31</f>
        <v>70161</v>
      </c>
      <c r="BK31" s="11">
        <f>'Cash Flows Cumulative'!BK31-'Cash Flows Cumulative'!BJ31</f>
        <v>91457</v>
      </c>
      <c r="BL31" s="11">
        <f>'Cash Flows Cumulative'!BL31-'Cash Flows Cumulative'!BK31</f>
        <v>124728</v>
      </c>
      <c r="BM31" s="11">
        <f>'Cash Flows Cumulative'!BM31-'Cash Flows Cumulative'!BL31</f>
        <v>183982</v>
      </c>
      <c r="BN31" s="61">
        <f t="shared" si="45"/>
        <v>470328</v>
      </c>
      <c r="BO31" s="11">
        <f>'Cash Flows Cumulative'!BO31</f>
        <v>202856</v>
      </c>
      <c r="BP31" s="11">
        <f>'Cash Flows Cumulative'!BP31-'Cash Flows Cumulative'!BO31</f>
        <v>131824</v>
      </c>
      <c r="BQ31" s="11">
        <f>'Cash Flows Cumulative'!BQ31-'Cash Flows Cumulative'!BP31</f>
        <v>233821</v>
      </c>
      <c r="BR31" s="11">
        <f>'Cash Flows Cumulative'!BR31-'Cash Flows Cumulative'!BQ31</f>
        <v>-1328801</v>
      </c>
      <c r="BS31" s="61">
        <f t="shared" si="46"/>
        <v>-760300</v>
      </c>
      <c r="BT31" s="11">
        <f>'Cash Flows Cumulative'!BT31</f>
        <v>186024</v>
      </c>
      <c r="BU31" s="11">
        <f>'Cash Flows Cumulative'!BU31-'Cash Flows Cumulative'!BT31</f>
        <v>236888</v>
      </c>
      <c r="BV31" s="11">
        <f>'Cash Flows Cumulative'!BV31-'Cash Flows Cumulative'!BU31</f>
        <v>274904</v>
      </c>
      <c r="BW31" s="11">
        <f>'Cash Flows Cumulative'!BW31-'Cash Flows Cumulative'!BV31</f>
        <v>401408</v>
      </c>
      <c r="BX31" s="61">
        <f t="shared" si="47"/>
        <v>1099224</v>
      </c>
      <c r="BY31" s="11">
        <f>'Cash Flows Cumulative'!BY31</f>
        <v>480163</v>
      </c>
      <c r="BZ31" s="11">
        <f>'Cash Flows Cumulative'!BZ31-'Cash Flows Cumulative'!BY31</f>
        <v>304860</v>
      </c>
      <c r="CA31" s="11">
        <f>'Cash Flows Cumulative'!CA31-'Cash Flows Cumulative'!BZ31</f>
        <v>441422</v>
      </c>
      <c r="CB31" s="11">
        <f>'Cash Flows Cumulative'!CB31-'Cash Flows Cumulative'!CA31</f>
        <v>421092</v>
      </c>
      <c r="CC31" s="61">
        <f t="shared" si="48"/>
        <v>1647537</v>
      </c>
      <c r="CD31" s="11">
        <f>'Cash Flows Cumulative'!CD31</f>
        <v>505818</v>
      </c>
      <c r="CE31" s="103">
        <f>'Cash Flows Cumulative'!CE31-'Cash Flows Cumulative'!CD31</f>
        <v>419839</v>
      </c>
      <c r="CF31" s="103">
        <f>'Cash Flows Cumulative'!CF31-'Cash Flows Cumulative'!CE31</f>
        <v>430226</v>
      </c>
      <c r="CG31" s="103">
        <f>'Cash Flows Cumulative'!CG31-'Cash Flows Cumulative'!CF31</f>
        <v>90472</v>
      </c>
      <c r="CH31" s="61">
        <f t="shared" si="49"/>
        <v>1446355</v>
      </c>
      <c r="CI31" s="11">
        <f>'Cash Flows Cumulative'!CI31</f>
        <v>279499</v>
      </c>
      <c r="CJ31" s="11">
        <f>'Cash Flows Cumulative'!CJ31-'Cash Flows Cumulative'!CI31</f>
        <v>270380</v>
      </c>
      <c r="CK31" s="11">
        <f>'Cash Flows Cumulative'!CK31-'Cash Flows Cumulative'!CJ31</f>
        <v>239965</v>
      </c>
      <c r="CL31" s="11">
        <f>'Cash Flows Cumulative'!CL31-'Cash Flows Cumulative'!CK31</f>
        <v>284149</v>
      </c>
      <c r="CM31" s="61">
        <f t="shared" si="50"/>
        <v>1073993</v>
      </c>
      <c r="CN31" s="11">
        <f>'Cash Flows Cumulative'!CN31</f>
        <v>252890</v>
      </c>
      <c r="CO31" s="11">
        <f>'Cash Flows Cumulative'!CO31-'Cash Flows Cumulative'!CN31</f>
        <v>381103</v>
      </c>
      <c r="CP31" s="11"/>
      <c r="CQ31" s="11"/>
      <c r="CR31" s="61">
        <f t="shared" si="51"/>
        <v>633993</v>
      </c>
    </row>
    <row r="32" spans="1:96" ht="11.15" customHeight="1" x14ac:dyDescent="0.2">
      <c r="A32" s="21" t="s">
        <v>69</v>
      </c>
      <c r="B32" s="11">
        <f>'Cash Flows Cumulative'!B32</f>
        <v>0</v>
      </c>
      <c r="C32" s="11">
        <f>'Cash Flows Cumulative'!C32-'Cash Flows Cumulative'!B32</f>
        <v>0</v>
      </c>
      <c r="D32" s="11">
        <f>'Cash Flows Cumulative'!D32-'Cash Flows Cumulative'!C32</f>
        <v>0</v>
      </c>
      <c r="E32" s="11">
        <f>'Cash Flows Cumulative'!E32-'Cash Flows Cumulative'!D32</f>
        <v>0</v>
      </c>
      <c r="F32" s="61">
        <f t="shared" si="33"/>
        <v>0</v>
      </c>
      <c r="G32" s="11">
        <f>'Cash Flows Cumulative'!G32</f>
        <v>0</v>
      </c>
      <c r="H32" s="11">
        <f>'Cash Flows Cumulative'!H32-'Cash Flows Cumulative'!G32</f>
        <v>0</v>
      </c>
      <c r="I32" s="11">
        <f>'Cash Flows Cumulative'!I32-'Cash Flows Cumulative'!H32</f>
        <v>0</v>
      </c>
      <c r="J32" s="11">
        <f>'Cash Flows Cumulative'!J32-'Cash Flows Cumulative'!I32</f>
        <v>0</v>
      </c>
      <c r="K32" s="61">
        <f t="shared" si="34"/>
        <v>0</v>
      </c>
      <c r="L32" s="11">
        <f>'Cash Flows Cumulative'!L32</f>
        <v>0</v>
      </c>
      <c r="M32" s="11">
        <f>'Cash Flows Cumulative'!M32-'Cash Flows Cumulative'!L32</f>
        <v>0</v>
      </c>
      <c r="N32" s="11">
        <f>'Cash Flows Cumulative'!N32-'Cash Flows Cumulative'!M32</f>
        <v>0</v>
      </c>
      <c r="O32" s="11">
        <f>'Cash Flows Cumulative'!O32-'Cash Flows Cumulative'!N32</f>
        <v>0</v>
      </c>
      <c r="P32" s="61">
        <f t="shared" si="35"/>
        <v>0</v>
      </c>
      <c r="Q32" s="11">
        <f>'Cash Flows Cumulative'!Q32</f>
        <v>0</v>
      </c>
      <c r="R32" s="11">
        <f>'Cash Flows Cumulative'!R32-'Cash Flows Cumulative'!Q32</f>
        <v>0</v>
      </c>
      <c r="S32" s="11">
        <f>'Cash Flows Cumulative'!S32-'Cash Flows Cumulative'!R32</f>
        <v>0</v>
      </c>
      <c r="T32" s="11">
        <f>'Cash Flows Cumulative'!T32-'Cash Flows Cumulative'!S32</f>
        <v>0</v>
      </c>
      <c r="U32" s="61">
        <f t="shared" si="36"/>
        <v>0</v>
      </c>
      <c r="V32" s="11">
        <f>'Cash Flows Cumulative'!V32</f>
        <v>-748</v>
      </c>
      <c r="W32" s="11">
        <f>'Cash Flows Cumulative'!W32-'Cash Flows Cumulative'!V32</f>
        <v>-3360</v>
      </c>
      <c r="X32" s="11">
        <f>'Cash Flows Cumulative'!X32-'Cash Flows Cumulative'!W32</f>
        <v>0</v>
      </c>
      <c r="Y32" s="11">
        <f>'Cash Flows Cumulative'!Y32-'Cash Flows Cumulative'!X32</f>
        <v>0</v>
      </c>
      <c r="Z32" s="61">
        <f t="shared" si="37"/>
        <v>-4108</v>
      </c>
      <c r="AA32" s="11">
        <f>'Cash Flows Cumulative'!AA32</f>
        <v>-450</v>
      </c>
      <c r="AB32" s="11">
        <f>'Cash Flows Cumulative'!AB32-'Cash Flows Cumulative'!AA32</f>
        <v>0</v>
      </c>
      <c r="AC32" s="11">
        <f>'Cash Flows Cumulative'!AC32-'Cash Flows Cumulative'!AB32</f>
        <v>0</v>
      </c>
      <c r="AD32" s="11">
        <f>'Cash Flows Cumulative'!AD32-'Cash Flows Cumulative'!AC32</f>
        <v>-300</v>
      </c>
      <c r="AE32" s="61">
        <f t="shared" si="38"/>
        <v>-750</v>
      </c>
      <c r="AF32" s="11">
        <f>'Cash Flows Cumulative'!AF32</f>
        <v>0</v>
      </c>
      <c r="AG32" s="11">
        <f>'Cash Flows Cumulative'!AG32-'Cash Flows Cumulative'!AF32</f>
        <v>0</v>
      </c>
      <c r="AH32" s="11">
        <f>'Cash Flows Cumulative'!AH32-'Cash Flows Cumulative'!AG32</f>
        <v>-11596</v>
      </c>
      <c r="AI32" s="11">
        <f>'Cash Flows Cumulative'!AI32-'Cash Flows Cumulative'!AH32</f>
        <v>0</v>
      </c>
      <c r="AJ32" s="61">
        <f t="shared" si="39"/>
        <v>-11596</v>
      </c>
      <c r="AK32" s="11">
        <f>'Cash Flows Cumulative'!AK32</f>
        <v>-5555</v>
      </c>
      <c r="AL32" s="11">
        <f>'Cash Flows Cumulative'!AL32-'Cash Flows Cumulative'!AK32</f>
        <v>0</v>
      </c>
      <c r="AM32" s="11">
        <f>'Cash Flows Cumulative'!AM32-'Cash Flows Cumulative'!AL32</f>
        <v>0</v>
      </c>
      <c r="AN32" s="11">
        <f>'Cash Flows Cumulative'!AN32-'Cash Flows Cumulative'!AM32</f>
        <v>0</v>
      </c>
      <c r="AO32" s="61">
        <f t="shared" si="40"/>
        <v>-5555</v>
      </c>
      <c r="AP32" s="11">
        <f>'Cash Flows Cumulative'!AP32</f>
        <v>0</v>
      </c>
      <c r="AQ32" s="11">
        <f>'Cash Flows Cumulative'!AQ32-'Cash Flows Cumulative'!AP32</f>
        <v>0</v>
      </c>
      <c r="AR32" s="11">
        <f>'Cash Flows Cumulative'!AR32-'Cash Flows Cumulative'!AQ32</f>
        <v>0</v>
      </c>
      <c r="AS32" s="11">
        <f>'Cash Flows Cumulative'!AS32-'Cash Flows Cumulative'!AR32</f>
        <v>0</v>
      </c>
      <c r="AT32" s="61">
        <f t="shared" si="41"/>
        <v>0</v>
      </c>
      <c r="AU32" s="11">
        <f>'Cash Flows Cumulative'!AU32</f>
        <v>-4958</v>
      </c>
      <c r="AV32" s="11">
        <f>'Cash Flows Cumulative'!AV32-'Cash Flows Cumulative'!AU32</f>
        <v>0</v>
      </c>
      <c r="AW32" s="11">
        <f>'Cash Flows Cumulative'!AW32-'Cash Flows Cumulative'!AV32</f>
        <v>0</v>
      </c>
      <c r="AX32" s="11">
        <f>'Cash Flows Cumulative'!AX32-'Cash Flows Cumulative'!AW32</f>
        <v>0</v>
      </c>
      <c r="AY32" s="61">
        <f t="shared" si="42"/>
        <v>-4958</v>
      </c>
      <c r="AZ32" s="11">
        <f>'Cash Flows Cumulative'!AZ32</f>
        <v>0</v>
      </c>
      <c r="BA32" s="11">
        <f>'Cash Flows Cumulative'!BA32-'Cash Flows Cumulative'!AZ32</f>
        <v>-46527</v>
      </c>
      <c r="BB32" s="11">
        <f>'Cash Flows Cumulative'!BB32-'Cash Flows Cumulative'!BA32</f>
        <v>0</v>
      </c>
      <c r="BC32" s="11">
        <f>'Cash Flows Cumulative'!BC32-'Cash Flows Cumulative'!BB32</f>
        <v>-1265</v>
      </c>
      <c r="BD32" s="61">
        <f t="shared" si="43"/>
        <v>-47792</v>
      </c>
      <c r="BE32" s="11">
        <f>'Cash Flows Cumulative'!BE32</f>
        <v>0</v>
      </c>
      <c r="BF32" s="11">
        <f>'Cash Flows Cumulative'!BF32-'Cash Flows Cumulative'!BE32</f>
        <v>-11307</v>
      </c>
      <c r="BG32" s="11">
        <f>'Cash Flows Cumulative'!BG32-'Cash Flows Cumulative'!BF32</f>
        <v>-39287</v>
      </c>
      <c r="BH32" s="11">
        <f>'Cash Flows Cumulative'!BH32-'Cash Flows Cumulative'!BG32</f>
        <v>-9889</v>
      </c>
      <c r="BI32" s="61">
        <f t="shared" si="44"/>
        <v>-60483</v>
      </c>
      <c r="BJ32" s="11">
        <f>'Cash Flows Cumulative'!BJ32</f>
        <v>0</v>
      </c>
      <c r="BK32" s="11">
        <f>'Cash Flows Cumulative'!BK32-'Cash Flows Cumulative'!BJ32</f>
        <v>-4422</v>
      </c>
      <c r="BL32" s="11">
        <f>'Cash Flows Cumulative'!BL32-'Cash Flows Cumulative'!BK32</f>
        <v>-1</v>
      </c>
      <c r="BM32" s="11">
        <f>'Cash Flows Cumulative'!BM32-'Cash Flows Cumulative'!BL32</f>
        <v>-104692</v>
      </c>
      <c r="BN32" s="61">
        <f t="shared" si="45"/>
        <v>-109115</v>
      </c>
      <c r="BO32" s="11">
        <f>'Cash Flows Cumulative'!BO32</f>
        <v>-15115</v>
      </c>
      <c r="BP32" s="11">
        <f>'Cash Flows Cumulative'!BP32-'Cash Flows Cumulative'!BO32</f>
        <v>0</v>
      </c>
      <c r="BQ32" s="11">
        <f>'Cash Flows Cumulative'!BQ32-'Cash Flows Cumulative'!BP32</f>
        <v>0</v>
      </c>
      <c r="BR32" s="11">
        <f>'Cash Flows Cumulative'!BR32-'Cash Flows Cumulative'!BQ32</f>
        <v>0</v>
      </c>
      <c r="BS32" s="61">
        <f t="shared" si="46"/>
        <v>-15115</v>
      </c>
      <c r="BT32" s="11">
        <f>'Cash Flows Cumulative'!BT32</f>
        <v>0</v>
      </c>
      <c r="BU32" s="11">
        <f>'Cash Flows Cumulative'!BU32-'Cash Flows Cumulative'!BT32</f>
        <v>0</v>
      </c>
      <c r="BV32" s="11">
        <f>'Cash Flows Cumulative'!BV32-'Cash Flows Cumulative'!BU32</f>
        <v>0</v>
      </c>
      <c r="BW32" s="11">
        <f>'Cash Flows Cumulative'!BW32-'Cash Flows Cumulative'!BV32</f>
        <v>-429</v>
      </c>
      <c r="BX32" s="61">
        <f t="shared" si="47"/>
        <v>-429</v>
      </c>
      <c r="BY32" s="11">
        <f>'Cash Flows Cumulative'!BY32</f>
        <v>0</v>
      </c>
      <c r="BZ32" s="11">
        <f>'Cash Flows Cumulative'!BZ32-'Cash Flows Cumulative'!BY32</f>
        <v>0</v>
      </c>
      <c r="CA32" s="11">
        <f>'Cash Flows Cumulative'!CA32-'Cash Flows Cumulative'!BZ32</f>
        <v>0</v>
      </c>
      <c r="CB32" s="11">
        <f>'Cash Flows Cumulative'!CB32-'Cash Flows Cumulative'!CA32</f>
        <v>0</v>
      </c>
      <c r="CC32" s="61">
        <f t="shared" si="48"/>
        <v>0</v>
      </c>
      <c r="CD32" s="11">
        <f>'Cash Flows Cumulative'!CD32</f>
        <v>-2000</v>
      </c>
      <c r="CE32" s="103">
        <f>'Cash Flows Cumulative'!CE32-'Cash Flows Cumulative'!CD32</f>
        <v>0</v>
      </c>
      <c r="CF32" s="103">
        <f>'Cash Flows Cumulative'!CF32-'Cash Flows Cumulative'!CE32</f>
        <v>0</v>
      </c>
      <c r="CG32" s="103">
        <f>'Cash Flows Cumulative'!CG32-'Cash Flows Cumulative'!CF32</f>
        <v>0</v>
      </c>
      <c r="CH32" s="61">
        <f t="shared" si="49"/>
        <v>-2000</v>
      </c>
      <c r="CI32" s="11">
        <f>'Cash Flows Cumulative'!CI32</f>
        <v>0</v>
      </c>
      <c r="CJ32" s="11">
        <f>'Cash Flows Cumulative'!CJ32-'Cash Flows Cumulative'!CI32</f>
        <v>0</v>
      </c>
      <c r="CK32" s="11">
        <f>'Cash Flows Cumulative'!CK32-'Cash Flows Cumulative'!CJ32</f>
        <v>0</v>
      </c>
      <c r="CL32" s="11">
        <f>'Cash Flows Cumulative'!CL32-'Cash Flows Cumulative'!CK32</f>
        <v>0</v>
      </c>
      <c r="CM32" s="61">
        <f t="shared" si="50"/>
        <v>0</v>
      </c>
      <c r="CN32" s="11">
        <f>'Cash Flows Cumulative'!CN32</f>
        <v>0</v>
      </c>
      <c r="CO32" s="11">
        <f>'Cash Flows Cumulative'!CO32-'Cash Flows Cumulative'!CN32</f>
        <v>0</v>
      </c>
      <c r="CP32" s="11"/>
      <c r="CQ32" s="11"/>
      <c r="CR32" s="61">
        <f t="shared" si="51"/>
        <v>0</v>
      </c>
    </row>
    <row r="33" spans="1:96" ht="11.15" customHeight="1" x14ac:dyDescent="0.2">
      <c r="A33" s="21" t="s">
        <v>227</v>
      </c>
      <c r="B33" s="11"/>
      <c r="C33" s="11"/>
      <c r="D33" s="11"/>
      <c r="E33" s="11"/>
      <c r="F33" s="61"/>
      <c r="G33" s="11"/>
      <c r="H33" s="11"/>
      <c r="I33" s="11"/>
      <c r="J33" s="11"/>
      <c r="K33" s="61"/>
      <c r="L33" s="11"/>
      <c r="M33" s="11"/>
      <c r="N33" s="11"/>
      <c r="O33" s="11"/>
      <c r="P33" s="61"/>
      <c r="Q33" s="11"/>
      <c r="R33" s="11"/>
      <c r="S33" s="11"/>
      <c r="T33" s="11"/>
      <c r="U33" s="61"/>
      <c r="V33" s="11"/>
      <c r="W33" s="11"/>
      <c r="X33" s="11"/>
      <c r="Y33" s="11"/>
      <c r="Z33" s="61"/>
      <c r="AA33" s="11"/>
      <c r="AB33" s="11"/>
      <c r="AC33" s="11"/>
      <c r="AD33" s="11"/>
      <c r="AE33" s="61"/>
      <c r="AF33" s="11"/>
      <c r="AG33" s="11"/>
      <c r="AH33" s="11"/>
      <c r="AI33" s="11"/>
      <c r="AJ33" s="61"/>
      <c r="AK33" s="11"/>
      <c r="AL33" s="11"/>
      <c r="AM33" s="11"/>
      <c r="AN33" s="11"/>
      <c r="AO33" s="61"/>
      <c r="AP33" s="11"/>
      <c r="AQ33" s="11"/>
      <c r="AR33" s="11"/>
      <c r="AS33" s="11"/>
      <c r="AT33" s="61"/>
      <c r="AU33" s="11"/>
      <c r="AV33" s="11"/>
      <c r="AW33" s="11"/>
      <c r="AX33" s="11"/>
      <c r="AY33" s="61"/>
      <c r="AZ33" s="11"/>
      <c r="BA33" s="11"/>
      <c r="BB33" s="11"/>
      <c r="BC33" s="11"/>
      <c r="BD33" s="61"/>
      <c r="BE33" s="11"/>
      <c r="BF33" s="11"/>
      <c r="BG33" s="11"/>
      <c r="BH33" s="11"/>
      <c r="BI33" s="61"/>
      <c r="BJ33" s="11"/>
      <c r="BK33" s="11"/>
      <c r="BL33" s="11"/>
      <c r="BM33" s="11"/>
      <c r="BN33" s="61"/>
      <c r="BO33" s="11"/>
      <c r="BP33" s="11"/>
      <c r="BQ33" s="11"/>
      <c r="BR33" s="11"/>
      <c r="BS33" s="61"/>
      <c r="BT33" s="11"/>
      <c r="BU33" s="11"/>
      <c r="BV33" s="11"/>
      <c r="BW33" s="11"/>
      <c r="BX33" s="61"/>
      <c r="BY33" s="11"/>
      <c r="BZ33" s="11"/>
      <c r="CA33" s="11"/>
      <c r="CB33" s="11"/>
      <c r="CC33" s="61"/>
      <c r="CD33" s="11">
        <v>0</v>
      </c>
      <c r="CE33" s="103">
        <v>0</v>
      </c>
      <c r="CF33" s="103">
        <f>'Cash Flows Cumulative'!CF33</f>
        <v>52141</v>
      </c>
      <c r="CG33" s="103">
        <f>'Cash Flows Cumulative'!CG33-'Cash Flows Cumulative'!CF33</f>
        <v>800</v>
      </c>
      <c r="CH33" s="61">
        <f t="shared" si="49"/>
        <v>52941</v>
      </c>
      <c r="CI33" s="11">
        <v>0</v>
      </c>
      <c r="CJ33" s="11">
        <v>0</v>
      </c>
      <c r="CK33" s="11">
        <v>0</v>
      </c>
      <c r="CL33" s="11">
        <f>'Cash Flows Cumulative'!CL33-'Cash Flows Cumulative'!CK33</f>
        <v>0</v>
      </c>
      <c r="CM33" s="61">
        <f t="shared" si="50"/>
        <v>0</v>
      </c>
      <c r="CN33" s="11">
        <v>0</v>
      </c>
      <c r="CO33" s="11">
        <v>0</v>
      </c>
      <c r="CP33" s="11"/>
      <c r="CQ33" s="11"/>
      <c r="CR33" s="61">
        <f t="shared" si="51"/>
        <v>0</v>
      </c>
    </row>
    <row r="34" spans="1:96" ht="10.5" customHeight="1" x14ac:dyDescent="0.2">
      <c r="A34" s="21" t="s">
        <v>21</v>
      </c>
      <c r="B34" s="11">
        <f>'Cash Flows Cumulative'!B34</f>
        <v>1097</v>
      </c>
      <c r="C34" s="11">
        <f>'Cash Flows Cumulative'!C34-'Cash Flows Cumulative'!B34</f>
        <v>-26</v>
      </c>
      <c r="D34" s="11">
        <f>'Cash Flows Cumulative'!D34-'Cash Flows Cumulative'!C34</f>
        <v>562</v>
      </c>
      <c r="E34" s="11">
        <f>'Cash Flows Cumulative'!E34-'Cash Flows Cumulative'!D34</f>
        <v>-408</v>
      </c>
      <c r="F34" s="61">
        <f t="shared" si="33"/>
        <v>1225</v>
      </c>
      <c r="G34" s="11">
        <f>'Cash Flows Cumulative'!G34</f>
        <v>11</v>
      </c>
      <c r="H34" s="11">
        <f>'Cash Flows Cumulative'!H34-'Cash Flows Cumulative'!G34</f>
        <v>6</v>
      </c>
      <c r="I34" s="11">
        <f>'Cash Flows Cumulative'!I34-'Cash Flows Cumulative'!H34</f>
        <v>-353</v>
      </c>
      <c r="J34" s="11">
        <f>'Cash Flows Cumulative'!J34-'Cash Flows Cumulative'!I34</f>
        <v>267</v>
      </c>
      <c r="K34" s="61">
        <f t="shared" si="34"/>
        <v>-69</v>
      </c>
      <c r="L34" s="11">
        <f>'Cash Flows Cumulative'!L34</f>
        <v>59</v>
      </c>
      <c r="M34" s="11">
        <f>'Cash Flows Cumulative'!M34-'Cash Flows Cumulative'!L34</f>
        <v>77</v>
      </c>
      <c r="N34" s="11">
        <f>'Cash Flows Cumulative'!N34-'Cash Flows Cumulative'!M34</f>
        <v>55</v>
      </c>
      <c r="O34" s="11">
        <f>'Cash Flows Cumulative'!O34-'Cash Flows Cumulative'!N34</f>
        <v>-148</v>
      </c>
      <c r="P34" s="61">
        <f t="shared" si="35"/>
        <v>43</v>
      </c>
      <c r="Q34" s="11">
        <f>'Cash Flows Cumulative'!Q34</f>
        <v>22</v>
      </c>
      <c r="R34" s="11">
        <f>'Cash Flows Cumulative'!R34-'Cash Flows Cumulative'!Q34</f>
        <v>-76</v>
      </c>
      <c r="S34" s="11">
        <f>'Cash Flows Cumulative'!S34-'Cash Flows Cumulative'!R34</f>
        <v>112</v>
      </c>
      <c r="T34" s="11">
        <f>'Cash Flows Cumulative'!T34-'Cash Flows Cumulative'!S34</f>
        <v>-199</v>
      </c>
      <c r="U34" s="61">
        <f t="shared" si="36"/>
        <v>-141</v>
      </c>
      <c r="V34" s="11">
        <f>'Cash Flows Cumulative'!V34</f>
        <v>181</v>
      </c>
      <c r="W34" s="11">
        <f>'Cash Flows Cumulative'!W34-'Cash Flows Cumulative'!V34</f>
        <v>-64</v>
      </c>
      <c r="X34" s="11">
        <f>'Cash Flows Cumulative'!X34-'Cash Flows Cumulative'!W34</f>
        <v>54</v>
      </c>
      <c r="Y34" s="11">
        <f>'Cash Flows Cumulative'!Y34-'Cash Flows Cumulative'!X34</f>
        <v>-248</v>
      </c>
      <c r="Z34" s="61">
        <f t="shared" si="37"/>
        <v>-77</v>
      </c>
      <c r="AA34" s="11">
        <f>'Cash Flows Cumulative'!AA34</f>
        <v>149</v>
      </c>
      <c r="AB34" s="11">
        <f>'Cash Flows Cumulative'!AB34-'Cash Flows Cumulative'!AA34</f>
        <v>-37</v>
      </c>
      <c r="AC34" s="11">
        <f>'Cash Flows Cumulative'!AC34-'Cash Flows Cumulative'!AB34</f>
        <v>77</v>
      </c>
      <c r="AD34" s="11">
        <f>'Cash Flows Cumulative'!AD34-'Cash Flows Cumulative'!AC34</f>
        <v>-80</v>
      </c>
      <c r="AE34" s="61">
        <f t="shared" si="38"/>
        <v>109</v>
      </c>
      <c r="AF34" s="11">
        <f>'Cash Flows Cumulative'!AF34</f>
        <v>149</v>
      </c>
      <c r="AG34" s="11">
        <f>'Cash Flows Cumulative'!AG34-'Cash Flows Cumulative'!AF34</f>
        <v>-188</v>
      </c>
      <c r="AH34" s="11">
        <f>'Cash Flows Cumulative'!AH34-'Cash Flows Cumulative'!AG34</f>
        <v>-274</v>
      </c>
      <c r="AI34" s="11">
        <f>'Cash Flows Cumulative'!AI34-'Cash Flows Cumulative'!AH34</f>
        <v>-615</v>
      </c>
      <c r="AJ34" s="61">
        <f t="shared" si="39"/>
        <v>-928</v>
      </c>
      <c r="AK34" s="11">
        <f>'Cash Flows Cumulative'!AK34</f>
        <v>375</v>
      </c>
      <c r="AL34" s="11">
        <f>'Cash Flows Cumulative'!AL34-'Cash Flows Cumulative'!AK34</f>
        <v>32</v>
      </c>
      <c r="AM34" s="11">
        <f>'Cash Flows Cumulative'!AM34-'Cash Flows Cumulative'!AL34</f>
        <v>35</v>
      </c>
      <c r="AN34" s="11">
        <f>'Cash Flows Cumulative'!AN34-'Cash Flows Cumulative'!AM34</f>
        <v>-585</v>
      </c>
      <c r="AO34" s="61">
        <f t="shared" si="40"/>
        <v>-143</v>
      </c>
      <c r="AP34" s="11">
        <f>'Cash Flows Cumulative'!AP34</f>
        <v>32</v>
      </c>
      <c r="AQ34" s="11">
        <f>'Cash Flows Cumulative'!AQ34-'Cash Flows Cumulative'!AP34</f>
        <v>10</v>
      </c>
      <c r="AR34" s="11">
        <f>'Cash Flows Cumulative'!AR34-'Cash Flows Cumulative'!AQ34</f>
        <v>24</v>
      </c>
      <c r="AS34" s="11">
        <f>'Cash Flows Cumulative'!AS34-'Cash Flows Cumulative'!AR34</f>
        <v>21</v>
      </c>
      <c r="AT34" s="61">
        <f t="shared" si="41"/>
        <v>87</v>
      </c>
      <c r="AU34" s="11">
        <f>'Cash Flows Cumulative'!AU34</f>
        <v>60</v>
      </c>
      <c r="AV34" s="11">
        <f>'Cash Flows Cumulative'!AV34-'Cash Flows Cumulative'!AU34</f>
        <v>26</v>
      </c>
      <c r="AW34" s="11">
        <f>'Cash Flows Cumulative'!AW34-'Cash Flows Cumulative'!AV34</f>
        <v>-23</v>
      </c>
      <c r="AX34" s="11">
        <f>'Cash Flows Cumulative'!AX34-'Cash Flows Cumulative'!AW34</f>
        <v>30</v>
      </c>
      <c r="AY34" s="61">
        <f t="shared" si="42"/>
        <v>93</v>
      </c>
      <c r="AZ34" s="11">
        <f>'Cash Flows Cumulative'!AZ34</f>
        <v>46</v>
      </c>
      <c r="BA34" s="11">
        <f>'Cash Flows Cumulative'!BA34-'Cash Flows Cumulative'!AZ34</f>
        <v>26</v>
      </c>
      <c r="BB34" s="11">
        <f>'Cash Flows Cumulative'!BB34-'Cash Flows Cumulative'!BA34</f>
        <v>-56</v>
      </c>
      <c r="BC34" s="11">
        <f>'Cash Flows Cumulative'!BC34-'Cash Flows Cumulative'!BB34</f>
        <v>452</v>
      </c>
      <c r="BD34" s="61">
        <f t="shared" si="43"/>
        <v>468</v>
      </c>
      <c r="BE34" s="11">
        <f>'Cash Flows Cumulative'!BE34</f>
        <v>-47</v>
      </c>
      <c r="BF34" s="11">
        <f>'Cash Flows Cumulative'!BF34-'Cash Flows Cumulative'!BE34</f>
        <v>-521</v>
      </c>
      <c r="BG34" s="11">
        <f>'Cash Flows Cumulative'!BG34-'Cash Flows Cumulative'!BF34</f>
        <v>72</v>
      </c>
      <c r="BH34" s="11">
        <f>'Cash Flows Cumulative'!BH34-'Cash Flows Cumulative'!BG34</f>
        <v>144</v>
      </c>
      <c r="BI34" s="61">
        <f t="shared" si="44"/>
        <v>-352</v>
      </c>
      <c r="BJ34" s="11">
        <f>'Cash Flows Cumulative'!BJ34</f>
        <v>76</v>
      </c>
      <c r="BK34" s="11">
        <f>'Cash Flows Cumulative'!BK34-'Cash Flows Cumulative'!BJ34</f>
        <v>112</v>
      </c>
      <c r="BL34" s="11">
        <f>'Cash Flows Cumulative'!BL34-'Cash Flows Cumulative'!BK34</f>
        <v>119</v>
      </c>
      <c r="BM34" s="11">
        <f>'Cash Flows Cumulative'!BM34-'Cash Flows Cumulative'!BL34</f>
        <v>108</v>
      </c>
      <c r="BN34" s="61">
        <f t="shared" si="45"/>
        <v>415</v>
      </c>
      <c r="BO34" s="11">
        <f>'Cash Flows Cumulative'!BO34</f>
        <v>15</v>
      </c>
      <c r="BP34" s="11">
        <f>'Cash Flows Cumulative'!BP34-'Cash Flows Cumulative'!BO34</f>
        <v>194</v>
      </c>
      <c r="BQ34" s="11">
        <f>'Cash Flows Cumulative'!BQ34-'Cash Flows Cumulative'!BP34</f>
        <v>34</v>
      </c>
      <c r="BR34" s="11">
        <f>'Cash Flows Cumulative'!BR34-'Cash Flows Cumulative'!BQ34</f>
        <v>-6</v>
      </c>
      <c r="BS34" s="61">
        <f t="shared" si="46"/>
        <v>237</v>
      </c>
      <c r="BT34" s="11">
        <f>'Cash Flows Cumulative'!BT34</f>
        <v>79</v>
      </c>
      <c r="BU34" s="11">
        <f>'Cash Flows Cumulative'!BU34-'Cash Flows Cumulative'!BT34</f>
        <v>36</v>
      </c>
      <c r="BV34" s="11">
        <f>'Cash Flows Cumulative'!BV34-'Cash Flows Cumulative'!BU34</f>
        <v>-98</v>
      </c>
      <c r="BW34" s="11">
        <f>'Cash Flows Cumulative'!BW34-'Cash Flows Cumulative'!BV34</f>
        <v>-24</v>
      </c>
      <c r="BX34" s="61">
        <f t="shared" si="47"/>
        <v>-7</v>
      </c>
      <c r="BY34" s="11">
        <f>'Cash Flows Cumulative'!BY34</f>
        <v>-2</v>
      </c>
      <c r="BZ34" s="11">
        <f>'Cash Flows Cumulative'!BZ34-'Cash Flows Cumulative'!BY34</f>
        <v>-545</v>
      </c>
      <c r="CA34" s="11">
        <f>'Cash Flows Cumulative'!CA34-'Cash Flows Cumulative'!BZ34</f>
        <v>-531</v>
      </c>
      <c r="CB34" s="11">
        <f>'Cash Flows Cumulative'!CB34-'Cash Flows Cumulative'!CA34</f>
        <v>-437</v>
      </c>
      <c r="CC34" s="61">
        <f t="shared" si="48"/>
        <v>-1515</v>
      </c>
      <c r="CD34" s="11">
        <f>'Cash Flows Cumulative'!CD34</f>
        <v>-1164</v>
      </c>
      <c r="CE34" s="103">
        <f>'Cash Flows Cumulative'!CE34-'Cash Flows Cumulative'!CD34</f>
        <v>814</v>
      </c>
      <c r="CF34" s="103">
        <f>'Cash Flows Cumulative'!CF34-'Cash Flows Cumulative'!CE34</f>
        <v>104</v>
      </c>
      <c r="CG34" s="103">
        <f>'Cash Flows Cumulative'!CG34-'Cash Flows Cumulative'!CF34</f>
        <v>203</v>
      </c>
      <c r="CH34" s="61">
        <f t="shared" si="49"/>
        <v>-43</v>
      </c>
      <c r="CI34" s="11">
        <f>'Cash Flows Cumulative'!CI34</f>
        <v>107</v>
      </c>
      <c r="CJ34" s="11">
        <f>'Cash Flows Cumulative'!CJ34-'Cash Flows Cumulative'!CI34</f>
        <v>219</v>
      </c>
      <c r="CK34" s="11">
        <f>'Cash Flows Cumulative'!CK34-'Cash Flows Cumulative'!CJ34</f>
        <v>120</v>
      </c>
      <c r="CL34" s="11">
        <f>'Cash Flows Cumulative'!CL34-'Cash Flows Cumulative'!CK34</f>
        <v>112</v>
      </c>
      <c r="CM34" s="61">
        <f t="shared" si="50"/>
        <v>558</v>
      </c>
      <c r="CN34" s="11">
        <f>'Cash Flows Cumulative'!CN34</f>
        <v>157</v>
      </c>
      <c r="CO34" s="11">
        <f>'Cash Flows Cumulative'!CO34-'Cash Flows Cumulative'!CN34</f>
        <v>31</v>
      </c>
      <c r="CP34" s="11"/>
      <c r="CQ34" s="11"/>
      <c r="CR34" s="61">
        <f t="shared" si="51"/>
        <v>188</v>
      </c>
    </row>
    <row r="35" spans="1:96" s="2" customFormat="1" ht="11.15" customHeight="1" x14ac:dyDescent="0.25">
      <c r="A35" s="27" t="s">
        <v>34</v>
      </c>
      <c r="B35" s="12">
        <f>SUM(B27:B34)</f>
        <v>-2768</v>
      </c>
      <c r="C35" s="12">
        <f>SUM(C27:C34)</f>
        <v>-5195</v>
      </c>
      <c r="D35" s="12">
        <f>SUM(D27:D34)</f>
        <v>-4799</v>
      </c>
      <c r="E35" s="12">
        <f>SUM(E27:E34)</f>
        <v>-6365</v>
      </c>
      <c r="F35" s="60">
        <f t="shared" si="33"/>
        <v>-19127</v>
      </c>
      <c r="G35" s="12">
        <f>SUM(G27:G34)</f>
        <v>-7194</v>
      </c>
      <c r="H35" s="12">
        <f>SUM(H27:H34)</f>
        <v>-10570</v>
      </c>
      <c r="I35" s="12">
        <f>SUM(I27:I34)</f>
        <v>-8952</v>
      </c>
      <c r="J35" s="12">
        <f>SUM(J27:J34)</f>
        <v>-14566</v>
      </c>
      <c r="K35" s="60">
        <f t="shared" si="34"/>
        <v>-41282</v>
      </c>
      <c r="L35" s="12">
        <f>SUM(L27:L34)</f>
        <v>-8453</v>
      </c>
      <c r="M35" s="12">
        <f>SUM(M27:M34)</f>
        <v>-6286</v>
      </c>
      <c r="N35" s="12">
        <f>SUM(N27:N34)</f>
        <v>-9109</v>
      </c>
      <c r="O35" s="12">
        <f>SUM(O27:O34)</f>
        <v>-7770</v>
      </c>
      <c r="P35" s="60">
        <f t="shared" si="35"/>
        <v>-31618</v>
      </c>
      <c r="Q35" s="12">
        <f>SUM(Q27:Q34)</f>
        <v>-4664</v>
      </c>
      <c r="R35" s="12">
        <f>SUM(R27:R34)</f>
        <v>-3116</v>
      </c>
      <c r="S35" s="12">
        <f>SUM(S27:S34)</f>
        <v>-1742</v>
      </c>
      <c r="T35" s="12">
        <f>SUM(T27:T34)</f>
        <v>-1117</v>
      </c>
      <c r="U35" s="60">
        <f t="shared" si="36"/>
        <v>-10639</v>
      </c>
      <c r="V35" s="12">
        <f>SUM(V27:V34)</f>
        <v>-5520</v>
      </c>
      <c r="W35" s="12">
        <f>SUM(W27:W34)</f>
        <v>-7172</v>
      </c>
      <c r="X35" s="12">
        <f>SUM(X27:X34)</f>
        <v>-5446</v>
      </c>
      <c r="Y35" s="12">
        <f>SUM(Y27:Y34)</f>
        <v>-14421</v>
      </c>
      <c r="Z35" s="60">
        <f t="shared" si="37"/>
        <v>-32559</v>
      </c>
      <c r="AA35" s="12">
        <f>SUM(AA27:AA34)</f>
        <v>-9888</v>
      </c>
      <c r="AB35" s="12">
        <f>SUM(AB27:AB34)</f>
        <v>-13236</v>
      </c>
      <c r="AC35" s="12">
        <f>SUM(AC27:AC34)</f>
        <v>-11887</v>
      </c>
      <c r="AD35" s="12">
        <f>SUM(AD27:AD34)</f>
        <v>-44088</v>
      </c>
      <c r="AE35" s="60">
        <f t="shared" si="38"/>
        <v>-79099</v>
      </c>
      <c r="AF35" s="12">
        <f>SUM(AF27:AF34)</f>
        <v>-6629</v>
      </c>
      <c r="AG35" s="12">
        <f>SUM(AG27:AG34)</f>
        <v>-13689</v>
      </c>
      <c r="AH35" s="12">
        <f>SUM(AH27:AH34)</f>
        <v>-17854</v>
      </c>
      <c r="AI35" s="12">
        <f>SUM(AI27:AI34)</f>
        <v>-17085</v>
      </c>
      <c r="AJ35" s="60">
        <f t="shared" si="39"/>
        <v>-55257</v>
      </c>
      <c r="AK35" s="12">
        <f>SUM(AK27:AK34)</f>
        <v>-22837</v>
      </c>
      <c r="AL35" s="12">
        <f>SUM(AL27:AL34)</f>
        <v>-16408</v>
      </c>
      <c r="AM35" s="12">
        <f>SUM(AM27:AM34)</f>
        <v>-13999</v>
      </c>
      <c r="AN35" s="12">
        <f>SUM(AN27:AN34)</f>
        <v>-22642</v>
      </c>
      <c r="AO35" s="60">
        <f t="shared" si="40"/>
        <v>-75886</v>
      </c>
      <c r="AP35" s="12">
        <f>SUM(AP27:AP34)</f>
        <v>-11305</v>
      </c>
      <c r="AQ35" s="12">
        <f>SUM(AQ27:AQ34)</f>
        <v>-34180</v>
      </c>
      <c r="AR35" s="12">
        <f>SUM(AR27:AR34)</f>
        <v>-28754</v>
      </c>
      <c r="AS35" s="12">
        <f>SUM(AS27:AS34)</f>
        <v>-15841</v>
      </c>
      <c r="AT35" s="60">
        <f t="shared" si="41"/>
        <v>-90080</v>
      </c>
      <c r="AU35" s="12">
        <f>SUM(AU27:AU34)</f>
        <v>-18794</v>
      </c>
      <c r="AV35" s="12">
        <f>SUM(AV27:AV34)</f>
        <v>-18545</v>
      </c>
      <c r="AW35" s="12">
        <f>SUM(AW27:AW34)</f>
        <v>-18084</v>
      </c>
      <c r="AX35" s="12">
        <f>SUM(AX27:AX34)</f>
        <v>-126144</v>
      </c>
      <c r="AY35" s="60">
        <f t="shared" si="42"/>
        <v>-181567</v>
      </c>
      <c r="AZ35" s="12">
        <f>SUM(AZ27:AZ34)</f>
        <v>-44684</v>
      </c>
      <c r="BA35" s="12">
        <f>SUM(BA27:BA34)</f>
        <v>-92941</v>
      </c>
      <c r="BB35" s="12">
        <f>SUM(BB27:BB34)</f>
        <v>-29279</v>
      </c>
      <c r="BC35" s="12">
        <f>SUM(BC27:BC34)</f>
        <v>-107504</v>
      </c>
      <c r="BD35" s="60">
        <f t="shared" si="43"/>
        <v>-274408</v>
      </c>
      <c r="BE35" s="12">
        <f>SUM(BE27:BE34)</f>
        <v>20374</v>
      </c>
      <c r="BF35" s="12">
        <f>SUM(BF27:BF34)</f>
        <v>24330</v>
      </c>
      <c r="BG35" s="12">
        <f>SUM(BG27:BG34)</f>
        <v>-138020</v>
      </c>
      <c r="BH35" s="12">
        <f>SUM(BH27:BH34)</f>
        <v>-77489</v>
      </c>
      <c r="BI35" s="60">
        <f t="shared" si="44"/>
        <v>-170805</v>
      </c>
      <c r="BJ35" s="12">
        <f>SUM(BJ27:BJ34)</f>
        <v>-39443</v>
      </c>
      <c r="BK35" s="12">
        <f>SUM(BK27:BK34)</f>
        <v>-188878</v>
      </c>
      <c r="BL35" s="12">
        <f>SUM(BL27:BL34)</f>
        <v>-188547</v>
      </c>
      <c r="BM35" s="12">
        <f>SUM(BM27:BM34)</f>
        <v>-146131</v>
      </c>
      <c r="BN35" s="60">
        <f t="shared" si="45"/>
        <v>-562999</v>
      </c>
      <c r="BO35" s="12">
        <f>SUM(BO27:BO34)</f>
        <v>-23152</v>
      </c>
      <c r="BP35" s="12">
        <f>SUM(BP27:BP34)</f>
        <v>-83106</v>
      </c>
      <c r="BQ35" s="12">
        <f>SUM(BQ27:BQ34)</f>
        <v>-4979</v>
      </c>
      <c r="BR35" s="12">
        <f>SUM(BR27:BR34)</f>
        <v>-28738</v>
      </c>
      <c r="BS35" s="60">
        <f t="shared" si="46"/>
        <v>-139975</v>
      </c>
      <c r="BT35" s="12">
        <f>SUM(BT27:BT34)</f>
        <v>-139754</v>
      </c>
      <c r="BU35" s="12">
        <f>SUM(BU27:BU34)</f>
        <v>104550</v>
      </c>
      <c r="BV35" s="12">
        <f>SUM(BV27:BV34)</f>
        <v>-60874</v>
      </c>
      <c r="BW35" s="12">
        <f>SUM(BW27:BW34)</f>
        <v>-3496</v>
      </c>
      <c r="BX35" s="60">
        <f t="shared" si="47"/>
        <v>-99574</v>
      </c>
      <c r="BY35" s="12">
        <f>SUM(BY27:BY34)</f>
        <v>-60694</v>
      </c>
      <c r="BZ35" s="12">
        <f>SUM(BZ27:BZ34)</f>
        <v>-222949</v>
      </c>
      <c r="CA35" s="12">
        <f>SUM(CA27:CA34)</f>
        <v>-21181</v>
      </c>
      <c r="CB35" s="12">
        <f>SUM(CB27:CB34)</f>
        <v>-111458</v>
      </c>
      <c r="CC35" s="60">
        <f t="shared" si="48"/>
        <v>-416282</v>
      </c>
      <c r="CD35" s="12">
        <f>SUM(CD27:CD34)</f>
        <v>2470</v>
      </c>
      <c r="CE35" s="12">
        <f>SUM(CE27:CE34)</f>
        <v>277751</v>
      </c>
      <c r="CF35" s="12">
        <f>SUM(CF27:CF34)</f>
        <v>127244</v>
      </c>
      <c r="CG35" s="12">
        <f>SUM(CG27:CG34)</f>
        <v>-110513</v>
      </c>
      <c r="CH35" s="60">
        <f t="shared" si="49"/>
        <v>296952</v>
      </c>
      <c r="CI35" s="12">
        <f>SUM(CI27:CI34)</f>
        <v>-96018</v>
      </c>
      <c r="CJ35" s="12">
        <f>SUM(CJ27:CJ34)</f>
        <v>5477</v>
      </c>
      <c r="CK35" s="12">
        <f>SUM(CK27:CK34)</f>
        <v>-72455</v>
      </c>
      <c r="CL35" s="12">
        <f>SUM(CL27:CL34)</f>
        <v>-74558</v>
      </c>
      <c r="CM35" s="60">
        <f t="shared" si="50"/>
        <v>-237554</v>
      </c>
      <c r="CN35" s="12">
        <f>SUM(CN27:CN34)</f>
        <v>23736</v>
      </c>
      <c r="CO35" s="12">
        <f>SUM(CO27:CO34)</f>
        <v>284908</v>
      </c>
      <c r="CP35" s="12"/>
      <c r="CQ35" s="12"/>
      <c r="CR35" s="60">
        <f t="shared" si="51"/>
        <v>308644</v>
      </c>
    </row>
    <row r="36" spans="1:96" s="2" customFormat="1" ht="11.15" customHeight="1" x14ac:dyDescent="0.25">
      <c r="A36" s="21"/>
      <c r="B36" s="11"/>
      <c r="C36" s="11"/>
      <c r="D36" s="11"/>
      <c r="E36" s="11"/>
      <c r="F36" s="61"/>
      <c r="G36" s="11"/>
      <c r="H36" s="11"/>
      <c r="I36" s="11"/>
      <c r="J36" s="11"/>
      <c r="K36" s="61"/>
      <c r="L36" s="11"/>
      <c r="M36" s="11"/>
      <c r="N36" s="11"/>
      <c r="O36" s="11"/>
      <c r="P36" s="61"/>
      <c r="Q36" s="11"/>
      <c r="R36" s="11"/>
      <c r="S36" s="11"/>
      <c r="T36" s="11"/>
      <c r="U36" s="61"/>
      <c r="V36" s="11"/>
      <c r="W36" s="11"/>
      <c r="X36" s="11"/>
      <c r="Y36" s="11"/>
      <c r="Z36" s="61"/>
      <c r="AA36" s="11"/>
      <c r="AB36" s="11"/>
      <c r="AC36" s="11"/>
      <c r="AD36" s="11"/>
      <c r="AE36" s="61"/>
      <c r="AF36" s="11"/>
      <c r="AG36" s="11"/>
      <c r="AH36" s="11"/>
      <c r="AI36" s="11"/>
      <c r="AJ36" s="61"/>
      <c r="AK36" s="11"/>
      <c r="AL36" s="11"/>
      <c r="AM36" s="11"/>
      <c r="AN36" s="11"/>
      <c r="AO36" s="61"/>
      <c r="AP36" s="11"/>
      <c r="AQ36" s="11"/>
      <c r="AR36" s="11"/>
      <c r="AS36" s="11"/>
      <c r="AT36" s="61"/>
      <c r="AU36" s="11"/>
      <c r="AV36" s="11"/>
      <c r="AW36" s="11"/>
      <c r="AX36" s="11"/>
      <c r="AY36" s="61"/>
      <c r="AZ36" s="11"/>
      <c r="BA36" s="11"/>
      <c r="BB36" s="11"/>
      <c r="BC36" s="11"/>
      <c r="BD36" s="61"/>
      <c r="BE36" s="11"/>
      <c r="BF36" s="11"/>
      <c r="BG36" s="11"/>
      <c r="BH36" s="11"/>
      <c r="BI36" s="61"/>
      <c r="BJ36" s="11"/>
      <c r="BK36" s="11"/>
      <c r="BL36" s="11"/>
      <c r="BM36" s="11"/>
      <c r="BN36" s="61"/>
      <c r="BO36" s="11"/>
      <c r="BP36" s="11"/>
      <c r="BQ36" s="11"/>
      <c r="BR36" s="11"/>
      <c r="BS36" s="61"/>
      <c r="BT36" s="11"/>
      <c r="BU36" s="11"/>
      <c r="BV36" s="11"/>
      <c r="BW36" s="11"/>
      <c r="BX36" s="61"/>
      <c r="BY36" s="11"/>
      <c r="BZ36" s="11"/>
      <c r="CA36" s="11"/>
      <c r="CB36" s="11"/>
      <c r="CC36" s="61"/>
      <c r="CD36" s="11"/>
      <c r="CE36" s="11"/>
      <c r="CF36" s="11"/>
      <c r="CG36" s="11"/>
      <c r="CH36" s="61"/>
      <c r="CI36" s="11"/>
      <c r="CJ36" s="11"/>
      <c r="CK36" s="11"/>
      <c r="CL36" s="11"/>
      <c r="CM36" s="61"/>
      <c r="CN36" s="11"/>
      <c r="CO36" s="11"/>
      <c r="CP36" s="11"/>
      <c r="CQ36" s="11"/>
      <c r="CR36" s="61"/>
    </row>
    <row r="37" spans="1:96" s="2" customFormat="1" ht="11.15" customHeight="1" x14ac:dyDescent="0.25">
      <c r="A37" s="35" t="s">
        <v>200</v>
      </c>
      <c r="B37" s="4"/>
      <c r="C37" s="5"/>
      <c r="D37" s="5"/>
      <c r="E37" s="5"/>
      <c r="F37" s="69"/>
      <c r="G37" s="4"/>
      <c r="H37" s="5"/>
      <c r="I37" s="5"/>
      <c r="J37" s="5"/>
      <c r="K37" s="69"/>
      <c r="L37" s="4"/>
      <c r="M37" s="5"/>
      <c r="N37" s="5"/>
      <c r="O37" s="5"/>
      <c r="P37" s="69"/>
      <c r="Q37" s="4"/>
      <c r="R37" s="5"/>
      <c r="S37" s="5"/>
      <c r="T37" s="5"/>
      <c r="U37" s="69"/>
      <c r="V37" s="4"/>
      <c r="W37" s="5"/>
      <c r="X37" s="5"/>
      <c r="Y37" s="5"/>
      <c r="Z37" s="69"/>
      <c r="AA37" s="4"/>
      <c r="AB37" s="5"/>
      <c r="AC37" s="5"/>
      <c r="AD37" s="5"/>
      <c r="AE37" s="69"/>
      <c r="AF37" s="4"/>
      <c r="AG37" s="5"/>
      <c r="AH37" s="5"/>
      <c r="AI37" s="5"/>
      <c r="AJ37" s="69"/>
      <c r="AK37" s="4"/>
      <c r="AL37" s="5"/>
      <c r="AM37" s="5"/>
      <c r="AN37" s="5"/>
      <c r="AO37" s="69"/>
      <c r="AP37" s="4"/>
      <c r="AQ37" s="5"/>
      <c r="AR37" s="5"/>
      <c r="AS37" s="5"/>
      <c r="AT37" s="69"/>
      <c r="AU37" s="4"/>
      <c r="AV37" s="5"/>
      <c r="AW37" s="5"/>
      <c r="AX37" s="5"/>
      <c r="AY37" s="69"/>
      <c r="AZ37" s="4"/>
      <c r="BA37" s="5"/>
      <c r="BB37" s="5"/>
      <c r="BC37" s="5"/>
      <c r="BD37" s="69"/>
      <c r="BE37" s="4"/>
      <c r="BF37" s="4"/>
      <c r="BG37" s="4"/>
      <c r="BH37" s="5"/>
      <c r="BI37" s="69"/>
      <c r="BJ37" s="4"/>
      <c r="BK37" s="4"/>
      <c r="BL37" s="4"/>
      <c r="BM37" s="5"/>
      <c r="BN37" s="69"/>
      <c r="BO37" s="4"/>
      <c r="BP37" s="4"/>
      <c r="BQ37" s="4"/>
      <c r="BR37" s="5"/>
      <c r="BS37" s="69"/>
      <c r="BT37" s="4"/>
      <c r="BU37" s="4"/>
      <c r="BV37" s="4"/>
      <c r="BW37" s="4"/>
      <c r="BX37" s="69"/>
      <c r="BY37" s="4"/>
      <c r="BZ37" s="4"/>
      <c r="CA37" s="4"/>
      <c r="CB37" s="4"/>
      <c r="CC37" s="69"/>
      <c r="CD37" s="4"/>
      <c r="CE37" s="32"/>
      <c r="CF37" s="32"/>
      <c r="CG37" s="32"/>
      <c r="CH37" s="69"/>
      <c r="CI37" s="4"/>
      <c r="CJ37" s="4"/>
      <c r="CK37" s="4"/>
      <c r="CL37" s="32"/>
      <c r="CM37" s="69"/>
      <c r="CN37" s="4"/>
      <c r="CO37" s="4"/>
      <c r="CP37" s="4"/>
      <c r="CQ37" s="32"/>
      <c r="CR37" s="69"/>
    </row>
    <row r="38" spans="1:96" ht="11.15" customHeight="1" x14ac:dyDescent="0.2">
      <c r="A38" s="21" t="s">
        <v>87</v>
      </c>
      <c r="B38" s="44">
        <f>'Cash Flows Cumulative'!B38</f>
        <v>3940</v>
      </c>
      <c r="C38" s="11">
        <f>'Cash Flows Cumulative'!C38-'Cash Flows Cumulative'!B38</f>
        <v>4577</v>
      </c>
      <c r="D38" s="11">
        <f>'Cash Flows Cumulative'!D38-'Cash Flows Cumulative'!C38</f>
        <v>6971</v>
      </c>
      <c r="E38" s="11">
        <f>'Cash Flows Cumulative'!E38-'Cash Flows Cumulative'!D38</f>
        <v>1207</v>
      </c>
      <c r="F38" s="61">
        <f t="shared" ref="F38:F49" si="52">SUM(B38:E38)</f>
        <v>16695</v>
      </c>
      <c r="G38" s="44">
        <f>'Cash Flows Cumulative'!G38</f>
        <v>6052</v>
      </c>
      <c r="H38" s="11">
        <f>'Cash Flows Cumulative'!H38-'Cash Flows Cumulative'!G38</f>
        <v>14246</v>
      </c>
      <c r="I38" s="11">
        <f>'Cash Flows Cumulative'!I38-'Cash Flows Cumulative'!H38</f>
        <v>6745</v>
      </c>
      <c r="J38" s="11">
        <f>'Cash Flows Cumulative'!J38-'Cash Flows Cumulative'!I38</f>
        <v>9499</v>
      </c>
      <c r="K38" s="61">
        <f t="shared" ref="K38:K49" si="53">SUM(G38:J38)</f>
        <v>36542</v>
      </c>
      <c r="L38" s="44">
        <f>'Cash Flows Cumulative'!L38</f>
        <v>5926</v>
      </c>
      <c r="M38" s="11">
        <f>'Cash Flows Cumulative'!M38-'Cash Flows Cumulative'!L38</f>
        <v>8201</v>
      </c>
      <c r="N38" s="11">
        <f>'Cash Flows Cumulative'!N38-'Cash Flows Cumulative'!M38</f>
        <v>6922</v>
      </c>
      <c r="O38" s="11">
        <f>'Cash Flows Cumulative'!O38-'Cash Flows Cumulative'!N38</f>
        <v>8644</v>
      </c>
      <c r="P38" s="61">
        <f t="shared" ref="P38:P49" si="54">SUM(L38:O38)</f>
        <v>29693</v>
      </c>
      <c r="Q38" s="44">
        <f>'Cash Flows Cumulative'!Q38</f>
        <v>13528</v>
      </c>
      <c r="R38" s="11">
        <f>'Cash Flows Cumulative'!R38-'Cash Flows Cumulative'!Q38</f>
        <v>2974</v>
      </c>
      <c r="S38" s="11">
        <f>'Cash Flows Cumulative'!S38-'Cash Flows Cumulative'!R38</f>
        <v>891</v>
      </c>
      <c r="T38" s="11">
        <f>'Cash Flows Cumulative'!T38-'Cash Flows Cumulative'!S38</f>
        <v>1663</v>
      </c>
      <c r="U38" s="61">
        <f t="shared" ref="U38:U49" si="55">SUM(Q38:T38)</f>
        <v>19056</v>
      </c>
      <c r="V38" s="44">
        <f>'Cash Flows Cumulative'!V38</f>
        <v>4274</v>
      </c>
      <c r="W38" s="11">
        <f>'Cash Flows Cumulative'!W38-'Cash Flows Cumulative'!V38</f>
        <v>1269</v>
      </c>
      <c r="X38" s="11">
        <f>'Cash Flows Cumulative'!X38-'Cash Flows Cumulative'!W38</f>
        <v>3604</v>
      </c>
      <c r="Y38" s="11">
        <f>'Cash Flows Cumulative'!Y38-'Cash Flows Cumulative'!X38</f>
        <v>4681</v>
      </c>
      <c r="Z38" s="61">
        <f t="shared" ref="Z38:Z49" si="56">SUM(V38:Y38)</f>
        <v>13828</v>
      </c>
      <c r="AA38" s="44">
        <f>'Cash Flows Cumulative'!AA38</f>
        <v>3629</v>
      </c>
      <c r="AB38" s="11">
        <f>'Cash Flows Cumulative'!AB38-'Cash Flows Cumulative'!AA38</f>
        <v>3322</v>
      </c>
      <c r="AC38" s="11">
        <f>'Cash Flows Cumulative'!AC38-'Cash Flows Cumulative'!AB38</f>
        <v>1732</v>
      </c>
      <c r="AD38" s="11">
        <f>'Cash Flows Cumulative'!AD38-'Cash Flows Cumulative'!AC38</f>
        <v>1990</v>
      </c>
      <c r="AE38" s="61">
        <f t="shared" ref="AE38:AE49" si="57">SUM(AA38:AD38)</f>
        <v>10673</v>
      </c>
      <c r="AF38" s="44">
        <f>'Cash Flows Cumulative'!AF38</f>
        <v>5027</v>
      </c>
      <c r="AG38" s="11">
        <f>'Cash Flows Cumulative'!AG38-'Cash Flows Cumulative'!AF38</f>
        <v>1922</v>
      </c>
      <c r="AH38" s="11">
        <f>'Cash Flows Cumulative'!AH38-'Cash Flows Cumulative'!AG38</f>
        <v>2698</v>
      </c>
      <c r="AI38" s="11">
        <f>'Cash Flows Cumulative'!AI38-'Cash Flows Cumulative'!AH38</f>
        <v>3113</v>
      </c>
      <c r="AJ38" s="61">
        <f t="shared" ref="AJ38:AJ49" si="58">SUM(AF38:AI38)</f>
        <v>12760</v>
      </c>
      <c r="AK38" s="44">
        <f>'Cash Flows Cumulative'!AK38</f>
        <v>8897</v>
      </c>
      <c r="AL38" s="11">
        <f>'Cash Flows Cumulative'!AL38-'Cash Flows Cumulative'!AK38</f>
        <v>3074</v>
      </c>
      <c r="AM38" s="11">
        <f>'Cash Flows Cumulative'!AM38-'Cash Flows Cumulative'!AL38</f>
        <v>2153</v>
      </c>
      <c r="AN38" s="11">
        <f>'Cash Flows Cumulative'!AN38-'Cash Flows Cumulative'!AM38</f>
        <v>2719</v>
      </c>
      <c r="AO38" s="61">
        <f t="shared" ref="AO38:AO49" si="59">SUM(AK38:AN38)</f>
        <v>16843</v>
      </c>
      <c r="AP38" s="44">
        <f>'Cash Flows Cumulative'!AP38</f>
        <v>10889</v>
      </c>
      <c r="AQ38" s="11">
        <f>'Cash Flows Cumulative'!AQ38-'Cash Flows Cumulative'!AP38</f>
        <v>4487</v>
      </c>
      <c r="AR38" s="11">
        <f>'Cash Flows Cumulative'!AR38-'Cash Flows Cumulative'!AQ38</f>
        <v>10675</v>
      </c>
      <c r="AS38" s="11">
        <f>'Cash Flows Cumulative'!AS38-'Cash Flows Cumulative'!AR38</f>
        <v>7231</v>
      </c>
      <c r="AT38" s="61">
        <f t="shared" ref="AT38:AT49" si="60">SUM(AP38:AS38)</f>
        <v>33282</v>
      </c>
      <c r="AU38" s="44">
        <f>'Cash Flows Cumulative'!AU38</f>
        <v>3616</v>
      </c>
      <c r="AV38" s="11">
        <f>'Cash Flows Cumulative'!AV38-'Cash Flows Cumulative'!AU38</f>
        <v>5816</v>
      </c>
      <c r="AW38" s="11">
        <f>'Cash Flows Cumulative'!AW38-'Cash Flows Cumulative'!AV38</f>
        <v>-1926</v>
      </c>
      <c r="AX38" s="11">
        <f>'Cash Flows Cumulative'!AX38-'Cash Flows Cumulative'!AW38</f>
        <v>5381</v>
      </c>
      <c r="AY38" s="61">
        <f t="shared" ref="AY38:AY49" si="61">SUM(AU38:AX38)</f>
        <v>12887</v>
      </c>
      <c r="AZ38" s="44">
        <f>'Cash Flows Cumulative'!AZ38</f>
        <v>2214</v>
      </c>
      <c r="BA38" s="11">
        <f>'Cash Flows Cumulative'!BA38-'Cash Flows Cumulative'!AZ38</f>
        <v>1788</v>
      </c>
      <c r="BB38" s="11">
        <f>'Cash Flows Cumulative'!BB38-'Cash Flows Cumulative'!BA38</f>
        <v>2028</v>
      </c>
      <c r="BC38" s="11">
        <f>'Cash Flows Cumulative'!BC38-'Cash Flows Cumulative'!BB38</f>
        <v>1962</v>
      </c>
      <c r="BD38" s="61">
        <f t="shared" ref="BD38:BD53" si="62">SUM(AZ38:BC38)</f>
        <v>7992</v>
      </c>
      <c r="BE38" s="44">
        <f>'Cash Flows Cumulative'!BE38</f>
        <v>1934</v>
      </c>
      <c r="BF38" s="44">
        <f>'Cash Flows Cumulative'!BF38-'Cash Flows Cumulative'!BE38</f>
        <v>4827</v>
      </c>
      <c r="BG38" s="44">
        <f>'Cash Flows Cumulative'!BG38-'Cash Flows Cumulative'!BF38</f>
        <v>0</v>
      </c>
      <c r="BH38" s="11">
        <f>'Cash Flows Cumulative'!BH38-'Cash Flows Cumulative'!BG38</f>
        <v>0</v>
      </c>
      <c r="BI38" s="61">
        <f t="shared" ref="BI38:BI49" si="63">SUM(BE38:BH38)</f>
        <v>6761</v>
      </c>
      <c r="BJ38" s="44">
        <f>'Cash Flows Cumulative'!BJ38</f>
        <v>255</v>
      </c>
      <c r="BK38" s="44">
        <f>'Cash Flows Cumulative'!BK38-'Cash Flows Cumulative'!BJ38</f>
        <v>0</v>
      </c>
      <c r="BL38" s="44">
        <f>'Cash Flows Cumulative'!BL38-'Cash Flows Cumulative'!BK38</f>
        <v>0</v>
      </c>
      <c r="BM38" s="11">
        <f>'Cash Flows Cumulative'!BM38-'Cash Flows Cumulative'!BL38</f>
        <v>0</v>
      </c>
      <c r="BN38" s="61">
        <f t="shared" ref="BN38:BN49" si="64">SUM(BJ38:BM38)</f>
        <v>255</v>
      </c>
      <c r="BO38" s="44">
        <f>'Cash Flows Cumulative'!BO38</f>
        <v>0</v>
      </c>
      <c r="BP38" s="44">
        <f>'Cash Flows Cumulative'!BP38-'Cash Flows Cumulative'!BO38</f>
        <v>0</v>
      </c>
      <c r="BQ38" s="44">
        <f>'Cash Flows Cumulative'!BQ38-'Cash Flows Cumulative'!BP38</f>
        <v>15</v>
      </c>
      <c r="BR38" s="11">
        <f>'Cash Flows Cumulative'!BR38-'Cash Flows Cumulative'!BQ38</f>
        <v>0</v>
      </c>
      <c r="BS38" s="61">
        <f t="shared" ref="BS38:BS49" si="65">SUM(BO38:BR38)</f>
        <v>15</v>
      </c>
      <c r="BT38" s="44">
        <f>'Cash Flows Cumulative'!BT38</f>
        <v>0</v>
      </c>
      <c r="BU38" s="44">
        <f>'Cash Flows Cumulative'!BU38-'Cash Flows Cumulative'!BT38</f>
        <v>0</v>
      </c>
      <c r="BV38" s="44">
        <f>'Cash Flows Cumulative'!BV38-'Cash Flows Cumulative'!BU38</f>
        <v>0</v>
      </c>
      <c r="BW38" s="44">
        <f>'Cash Flows Cumulative'!BW38-'Cash Flows Cumulative'!BV38</f>
        <v>0</v>
      </c>
      <c r="BX38" s="61">
        <f t="shared" ref="BX38:BX49" si="66">SUM(BT38:BW38)</f>
        <v>0</v>
      </c>
      <c r="BY38" s="44">
        <f>'Cash Flows Cumulative'!BY38</f>
        <v>0</v>
      </c>
      <c r="BZ38" s="44">
        <f>'Cash Flows Cumulative'!BZ38-'Cash Flows Cumulative'!BY38</f>
        <v>0</v>
      </c>
      <c r="CA38" s="44">
        <f>'Cash Flows Cumulative'!CA38-'Cash Flows Cumulative'!BZ38</f>
        <v>0</v>
      </c>
      <c r="CB38" s="44">
        <f>'Cash Flows Cumulative'!CB38-'Cash Flows Cumulative'!CA38</f>
        <v>0</v>
      </c>
      <c r="CC38" s="61">
        <f t="shared" ref="CC38:CC49" si="67">SUM(BY38:CB38)</f>
        <v>0</v>
      </c>
      <c r="CD38" s="44">
        <f>'Cash Flows Cumulative'!CD38</f>
        <v>0</v>
      </c>
      <c r="CE38" s="103">
        <f>'Cash Flows Cumulative'!CE38-'Cash Flows Cumulative'!CD38</f>
        <v>0</v>
      </c>
      <c r="CF38" s="103">
        <f>'Cash Flows Cumulative'!CF38-'Cash Flows Cumulative'!CE38</f>
        <v>0</v>
      </c>
      <c r="CG38" s="103">
        <f>'Cash Flows Cumulative'!CG38-'Cash Flows Cumulative'!CF38</f>
        <v>0</v>
      </c>
      <c r="CH38" s="61">
        <f t="shared" ref="CH38:CH49" si="68">SUM(CD38:CG38)</f>
        <v>0</v>
      </c>
      <c r="CI38" s="44">
        <f>'Cash Flows Cumulative'!CI38</f>
        <v>0</v>
      </c>
      <c r="CJ38" s="44">
        <f>'Cash Flows Cumulative'!CJ38-'Cash Flows Cumulative'!CI38</f>
        <v>0</v>
      </c>
      <c r="CK38" s="44">
        <f>'Cash Flows Cumulative'!CK38-'Cash Flows Cumulative'!CJ38</f>
        <v>0</v>
      </c>
      <c r="CL38" s="44">
        <f>'Cash Flows Cumulative'!CL38-'Cash Flows Cumulative'!CK38</f>
        <v>0</v>
      </c>
      <c r="CM38" s="61">
        <f t="shared" ref="CM38:CM49" si="69">SUM(CI38:CL38)</f>
        <v>0</v>
      </c>
      <c r="CN38" s="44">
        <f>'Cash Flows Cumulative'!CN38</f>
        <v>0</v>
      </c>
      <c r="CO38" s="44">
        <f>'Cash Flows Cumulative'!CO38-'Cash Flows Cumulative'!CN38</f>
        <v>0</v>
      </c>
      <c r="CP38" s="44"/>
      <c r="CQ38" s="44"/>
      <c r="CR38" s="61">
        <f t="shared" ref="CR38:CR49" si="70">SUM(CN38:CQ38)</f>
        <v>0</v>
      </c>
    </row>
    <row r="39" spans="1:96" ht="11.15" customHeight="1" x14ac:dyDescent="0.2">
      <c r="A39" s="21" t="s">
        <v>88</v>
      </c>
      <c r="B39" s="44">
        <f>'Cash Flows Cumulative'!B39</f>
        <v>-3938</v>
      </c>
      <c r="C39" s="11">
        <f>'Cash Flows Cumulative'!C39-'Cash Flows Cumulative'!B39</f>
        <v>-2387</v>
      </c>
      <c r="D39" s="11">
        <f>'Cash Flows Cumulative'!D39-'Cash Flows Cumulative'!C39</f>
        <v>-5484</v>
      </c>
      <c r="E39" s="11">
        <f>'Cash Flows Cumulative'!E39-'Cash Flows Cumulative'!D39</f>
        <v>-6473</v>
      </c>
      <c r="F39" s="61">
        <f t="shared" si="52"/>
        <v>-18282</v>
      </c>
      <c r="G39" s="44">
        <f>'Cash Flows Cumulative'!G39</f>
        <v>-7769</v>
      </c>
      <c r="H39" s="11">
        <f>'Cash Flows Cumulative'!H39-'Cash Flows Cumulative'!G39</f>
        <v>-4349</v>
      </c>
      <c r="I39" s="11">
        <f>'Cash Flows Cumulative'!I39-'Cash Flows Cumulative'!H39</f>
        <v>-2181</v>
      </c>
      <c r="J39" s="11">
        <f>'Cash Flows Cumulative'!J39-'Cash Flows Cumulative'!I39</f>
        <v>-13970</v>
      </c>
      <c r="K39" s="61">
        <f t="shared" si="53"/>
        <v>-28269</v>
      </c>
      <c r="L39" s="44">
        <f>'Cash Flows Cumulative'!L39</f>
        <v>-2585</v>
      </c>
      <c r="M39" s="11">
        <f>'Cash Flows Cumulative'!M39-'Cash Flows Cumulative'!L39</f>
        <v>-3456</v>
      </c>
      <c r="N39" s="11">
        <f>'Cash Flows Cumulative'!N39-'Cash Flows Cumulative'!M39</f>
        <v>-10641</v>
      </c>
      <c r="O39" s="11">
        <f>'Cash Flows Cumulative'!O39-'Cash Flows Cumulative'!N39</f>
        <v>-5254</v>
      </c>
      <c r="P39" s="61">
        <f t="shared" si="54"/>
        <v>-21936</v>
      </c>
      <c r="Q39" s="44">
        <f>'Cash Flows Cumulative'!Q39</f>
        <v>-3298</v>
      </c>
      <c r="R39" s="11">
        <f>'Cash Flows Cumulative'!R39-'Cash Flows Cumulative'!Q39</f>
        <v>-1418</v>
      </c>
      <c r="S39" s="11">
        <f>'Cash Flows Cumulative'!S39-'Cash Flows Cumulative'!R39</f>
        <v>-17063</v>
      </c>
      <c r="T39" s="11">
        <f>'Cash Flows Cumulative'!T39-'Cash Flows Cumulative'!S39</f>
        <v>-11072</v>
      </c>
      <c r="U39" s="61">
        <f t="shared" si="55"/>
        <v>-32851</v>
      </c>
      <c r="V39" s="44">
        <f>'Cash Flows Cumulative'!V39</f>
        <v>-3112</v>
      </c>
      <c r="W39" s="11">
        <f>'Cash Flows Cumulative'!W39-'Cash Flows Cumulative'!V39</f>
        <v>-1921</v>
      </c>
      <c r="X39" s="11">
        <f>'Cash Flows Cumulative'!X39-'Cash Flows Cumulative'!W39</f>
        <v>-5596</v>
      </c>
      <c r="Y39" s="11">
        <f>'Cash Flows Cumulative'!Y39-'Cash Flows Cumulative'!X39</f>
        <v>-2457</v>
      </c>
      <c r="Z39" s="61">
        <f t="shared" si="56"/>
        <v>-13086</v>
      </c>
      <c r="AA39" s="44">
        <f>'Cash Flows Cumulative'!AA39</f>
        <v>-4044</v>
      </c>
      <c r="AB39" s="11">
        <f>'Cash Flows Cumulative'!AB39-'Cash Flows Cumulative'!AA39</f>
        <v>-2773</v>
      </c>
      <c r="AC39" s="11">
        <f>'Cash Flows Cumulative'!AC39-'Cash Flows Cumulative'!AB39</f>
        <v>-1281</v>
      </c>
      <c r="AD39" s="11">
        <f>'Cash Flows Cumulative'!AD39-'Cash Flows Cumulative'!AC39</f>
        <v>-2532</v>
      </c>
      <c r="AE39" s="61">
        <f t="shared" si="57"/>
        <v>-10630</v>
      </c>
      <c r="AF39" s="44">
        <f>'Cash Flows Cumulative'!AF39</f>
        <v>-2333</v>
      </c>
      <c r="AG39" s="11">
        <f>'Cash Flows Cumulative'!AG39-'Cash Flows Cumulative'!AF39</f>
        <v>-7359</v>
      </c>
      <c r="AH39" s="11">
        <f>'Cash Flows Cumulative'!AH39-'Cash Flows Cumulative'!AG39</f>
        <v>-1913</v>
      </c>
      <c r="AI39" s="11">
        <f>'Cash Flows Cumulative'!AI39-'Cash Flows Cumulative'!AH39</f>
        <v>-5585</v>
      </c>
      <c r="AJ39" s="61">
        <f t="shared" si="58"/>
        <v>-17190</v>
      </c>
      <c r="AK39" s="44">
        <f>'Cash Flows Cumulative'!AK39</f>
        <v>-1415</v>
      </c>
      <c r="AL39" s="11">
        <f>'Cash Flows Cumulative'!AL39-'Cash Flows Cumulative'!AK39</f>
        <v>-11176</v>
      </c>
      <c r="AM39" s="11">
        <f>'Cash Flows Cumulative'!AM39-'Cash Flows Cumulative'!AL39</f>
        <v>-2428</v>
      </c>
      <c r="AN39" s="11">
        <f>'Cash Flows Cumulative'!AN39-'Cash Flows Cumulative'!AM39</f>
        <v>-971</v>
      </c>
      <c r="AO39" s="61">
        <f t="shared" si="59"/>
        <v>-15990</v>
      </c>
      <c r="AP39" s="44">
        <f>'Cash Flows Cumulative'!AP39</f>
        <v>-11861</v>
      </c>
      <c r="AQ39" s="11">
        <f>'Cash Flows Cumulative'!AQ39-'Cash Flows Cumulative'!AP39</f>
        <v>-4050</v>
      </c>
      <c r="AR39" s="11">
        <f>'Cash Flows Cumulative'!AR39-'Cash Flows Cumulative'!AQ39</f>
        <v>-10925</v>
      </c>
      <c r="AS39" s="11">
        <f>'Cash Flows Cumulative'!AS39-'Cash Flows Cumulative'!AR39</f>
        <v>-6787</v>
      </c>
      <c r="AT39" s="61">
        <f t="shared" si="60"/>
        <v>-33623</v>
      </c>
      <c r="AU39" s="44">
        <f>'Cash Flows Cumulative'!AU39</f>
        <v>-5488</v>
      </c>
      <c r="AV39" s="11">
        <f>'Cash Flows Cumulative'!AV39-'Cash Flows Cumulative'!AU39</f>
        <v>-4721</v>
      </c>
      <c r="AW39" s="11">
        <f>'Cash Flows Cumulative'!AW39-'Cash Flows Cumulative'!AV39</f>
        <v>429</v>
      </c>
      <c r="AX39" s="11">
        <f>'Cash Flows Cumulative'!AX39-'Cash Flows Cumulative'!AW39</f>
        <v>-5447</v>
      </c>
      <c r="AY39" s="61">
        <f t="shared" si="61"/>
        <v>-15227</v>
      </c>
      <c r="AZ39" s="44">
        <f>'Cash Flows Cumulative'!AZ39</f>
        <v>-2223</v>
      </c>
      <c r="BA39" s="11">
        <f>'Cash Flows Cumulative'!BA39-'Cash Flows Cumulative'!AZ39</f>
        <v>-1779</v>
      </c>
      <c r="BB39" s="11">
        <f>'Cash Flows Cumulative'!BB39-'Cash Flows Cumulative'!BA39</f>
        <v>-2028</v>
      </c>
      <c r="BC39" s="11">
        <f>'Cash Flows Cumulative'!BC39-'Cash Flows Cumulative'!BB39</f>
        <v>-1962</v>
      </c>
      <c r="BD39" s="61">
        <f t="shared" si="62"/>
        <v>-7992</v>
      </c>
      <c r="BE39" s="44">
        <f>'Cash Flows Cumulative'!BE39</f>
        <v>-1934</v>
      </c>
      <c r="BF39" s="44">
        <f>'Cash Flows Cumulative'!BF39-'Cash Flows Cumulative'!BE39</f>
        <v>-4827</v>
      </c>
      <c r="BG39" s="44">
        <f>'Cash Flows Cumulative'!BG39-'Cash Flows Cumulative'!BF39</f>
        <v>0</v>
      </c>
      <c r="BH39" s="11">
        <f>'Cash Flows Cumulative'!BH39-'Cash Flows Cumulative'!BG39</f>
        <v>0</v>
      </c>
      <c r="BI39" s="61">
        <f t="shared" si="63"/>
        <v>-6761</v>
      </c>
      <c r="BJ39" s="44">
        <f>'Cash Flows Cumulative'!BJ39</f>
        <v>-255</v>
      </c>
      <c r="BK39" s="44">
        <f>'Cash Flows Cumulative'!BK39-'Cash Flows Cumulative'!BJ39</f>
        <v>0</v>
      </c>
      <c r="BL39" s="44">
        <f>'Cash Flows Cumulative'!BL39-'Cash Flows Cumulative'!BK39</f>
        <v>0</v>
      </c>
      <c r="BM39" s="11">
        <f>'Cash Flows Cumulative'!BM39-'Cash Flows Cumulative'!BL39</f>
        <v>0</v>
      </c>
      <c r="BN39" s="61">
        <f t="shared" si="64"/>
        <v>-255</v>
      </c>
      <c r="BO39" s="44">
        <f>'Cash Flows Cumulative'!BO39</f>
        <v>0</v>
      </c>
      <c r="BP39" s="44">
        <f>'Cash Flows Cumulative'!BP39-'Cash Flows Cumulative'!BO39</f>
        <v>0</v>
      </c>
      <c r="BQ39" s="44">
        <f>'Cash Flows Cumulative'!BQ39-'Cash Flows Cumulative'!BP39</f>
        <v>-15</v>
      </c>
      <c r="BR39" s="11">
        <f>'Cash Flows Cumulative'!BR39-'Cash Flows Cumulative'!BQ39</f>
        <v>0</v>
      </c>
      <c r="BS39" s="61">
        <f t="shared" si="65"/>
        <v>-15</v>
      </c>
      <c r="BT39" s="44">
        <f>'Cash Flows Cumulative'!BT39</f>
        <v>0</v>
      </c>
      <c r="BU39" s="44">
        <f>'Cash Flows Cumulative'!BU39-'Cash Flows Cumulative'!BT39</f>
        <v>0</v>
      </c>
      <c r="BV39" s="44">
        <f>'Cash Flows Cumulative'!BV39-'Cash Flows Cumulative'!BU39</f>
        <v>0</v>
      </c>
      <c r="BW39" s="44">
        <f>'Cash Flows Cumulative'!BW39-'Cash Flows Cumulative'!BV39</f>
        <v>0</v>
      </c>
      <c r="BX39" s="61">
        <f t="shared" si="66"/>
        <v>0</v>
      </c>
      <c r="BY39" s="44">
        <f>'Cash Flows Cumulative'!BY39</f>
        <v>0</v>
      </c>
      <c r="BZ39" s="44">
        <f>'Cash Flows Cumulative'!BZ39-'Cash Flows Cumulative'!BY39</f>
        <v>0</v>
      </c>
      <c r="CA39" s="44">
        <f>'Cash Flows Cumulative'!CA39-'Cash Flows Cumulative'!BZ39</f>
        <v>0</v>
      </c>
      <c r="CB39" s="44">
        <f>'Cash Flows Cumulative'!CB39-'Cash Flows Cumulative'!CA39</f>
        <v>0</v>
      </c>
      <c r="CC39" s="61">
        <f t="shared" si="67"/>
        <v>0</v>
      </c>
      <c r="CD39" s="44">
        <f>'Cash Flows Cumulative'!CD39</f>
        <v>0</v>
      </c>
      <c r="CE39" s="103">
        <f>'Cash Flows Cumulative'!CE39-'Cash Flows Cumulative'!CD39</f>
        <v>0</v>
      </c>
      <c r="CF39" s="103">
        <f>'Cash Flows Cumulative'!CF39-'Cash Flows Cumulative'!CE39</f>
        <v>0</v>
      </c>
      <c r="CG39" s="103">
        <f>'Cash Flows Cumulative'!CG39-'Cash Flows Cumulative'!CF39</f>
        <v>0</v>
      </c>
      <c r="CH39" s="61">
        <f t="shared" si="68"/>
        <v>0</v>
      </c>
      <c r="CI39" s="44">
        <f>'Cash Flows Cumulative'!CI39</f>
        <v>0</v>
      </c>
      <c r="CJ39" s="44">
        <f>'Cash Flows Cumulative'!CJ39-'Cash Flows Cumulative'!CI39</f>
        <v>0</v>
      </c>
      <c r="CK39" s="44">
        <f>'Cash Flows Cumulative'!CK39-'Cash Flows Cumulative'!CJ39</f>
        <v>0</v>
      </c>
      <c r="CL39" s="44">
        <f>'Cash Flows Cumulative'!CL39-'Cash Flows Cumulative'!CK39</f>
        <v>0</v>
      </c>
      <c r="CM39" s="61">
        <f t="shared" si="69"/>
        <v>0</v>
      </c>
      <c r="CN39" s="44">
        <f>'Cash Flows Cumulative'!CN39</f>
        <v>0</v>
      </c>
      <c r="CO39" s="44">
        <f>'Cash Flows Cumulative'!CO39-'Cash Flows Cumulative'!CN39</f>
        <v>0</v>
      </c>
      <c r="CP39" s="44"/>
      <c r="CQ39" s="44"/>
      <c r="CR39" s="61">
        <f t="shared" si="70"/>
        <v>0</v>
      </c>
    </row>
    <row r="40" spans="1:96" ht="11.15" customHeight="1" x14ac:dyDescent="0.2">
      <c r="A40" s="21" t="s">
        <v>158</v>
      </c>
      <c r="B40" s="44">
        <f>'Cash Flows Cumulative'!B40</f>
        <v>0</v>
      </c>
      <c r="C40" s="11">
        <f>'Cash Flows Cumulative'!C40-'Cash Flows Cumulative'!B40</f>
        <v>0</v>
      </c>
      <c r="D40" s="11">
        <f>'Cash Flows Cumulative'!D40-'Cash Flows Cumulative'!C40</f>
        <v>0</v>
      </c>
      <c r="E40" s="11">
        <f>'Cash Flows Cumulative'!E40-'Cash Flows Cumulative'!D40</f>
        <v>0</v>
      </c>
      <c r="F40" s="61">
        <f t="shared" si="52"/>
        <v>0</v>
      </c>
      <c r="G40" s="44">
        <f>'Cash Flows Cumulative'!G40</f>
        <v>0</v>
      </c>
      <c r="H40" s="11">
        <f>'Cash Flows Cumulative'!H40-'Cash Flows Cumulative'!G40</f>
        <v>0</v>
      </c>
      <c r="I40" s="11">
        <f>'Cash Flows Cumulative'!I40-'Cash Flows Cumulative'!H40</f>
        <v>0</v>
      </c>
      <c r="J40" s="11">
        <f>'Cash Flows Cumulative'!J40-'Cash Flows Cumulative'!I40</f>
        <v>-596</v>
      </c>
      <c r="K40" s="61">
        <f t="shared" si="53"/>
        <v>-596</v>
      </c>
      <c r="L40" s="44">
        <f>'Cash Flows Cumulative'!L40</f>
        <v>0</v>
      </c>
      <c r="M40" s="11">
        <f>'Cash Flows Cumulative'!M40-'Cash Flows Cumulative'!L40</f>
        <v>0</v>
      </c>
      <c r="N40" s="11">
        <f>'Cash Flows Cumulative'!N40-'Cash Flows Cumulative'!M40</f>
        <v>-1220</v>
      </c>
      <c r="O40" s="11">
        <f>'Cash Flows Cumulative'!O40-'Cash Flows Cumulative'!N40</f>
        <v>-677</v>
      </c>
      <c r="P40" s="61">
        <f t="shared" si="54"/>
        <v>-1897</v>
      </c>
      <c r="Q40" s="44">
        <f>'Cash Flows Cumulative'!Q40</f>
        <v>-455</v>
      </c>
      <c r="R40" s="11">
        <f>'Cash Flows Cumulative'!R40-'Cash Flows Cumulative'!Q40</f>
        <v>-53</v>
      </c>
      <c r="S40" s="11">
        <f>'Cash Flows Cumulative'!S40-'Cash Flows Cumulative'!R40</f>
        <v>0</v>
      </c>
      <c r="T40" s="11">
        <f>'Cash Flows Cumulative'!T40-'Cash Flows Cumulative'!S40</f>
        <v>0</v>
      </c>
      <c r="U40" s="61">
        <f t="shared" si="55"/>
        <v>-508</v>
      </c>
      <c r="V40" s="44">
        <f>'Cash Flows Cumulative'!V40</f>
        <v>0</v>
      </c>
      <c r="W40" s="11">
        <f>'Cash Flows Cumulative'!W40-'Cash Flows Cumulative'!V40</f>
        <v>0</v>
      </c>
      <c r="X40" s="11">
        <f>'Cash Flows Cumulative'!X40-'Cash Flows Cumulative'!W40</f>
        <v>0</v>
      </c>
      <c r="Y40" s="11">
        <f>'Cash Flows Cumulative'!Y40-'Cash Flows Cumulative'!X40</f>
        <v>24714</v>
      </c>
      <c r="Z40" s="61">
        <f t="shared" si="56"/>
        <v>24714</v>
      </c>
      <c r="AA40" s="44">
        <f>'Cash Flows Cumulative'!AA40</f>
        <v>0</v>
      </c>
      <c r="AB40" s="11">
        <f>'Cash Flows Cumulative'!AB40-'Cash Flows Cumulative'!AA40</f>
        <v>19973</v>
      </c>
      <c r="AC40" s="11">
        <f>'Cash Flows Cumulative'!AC40-'Cash Flows Cumulative'!AB40</f>
        <v>0</v>
      </c>
      <c r="AD40" s="11">
        <f>'Cash Flows Cumulative'!AD40-'Cash Flows Cumulative'!AC40</f>
        <v>-1</v>
      </c>
      <c r="AE40" s="61">
        <f t="shared" si="57"/>
        <v>19972</v>
      </c>
      <c r="AF40" s="44">
        <f>'Cash Flows Cumulative'!AF40</f>
        <v>-700</v>
      </c>
      <c r="AG40" s="11">
        <f>'Cash Flows Cumulative'!AG40-'Cash Flows Cumulative'!AF40</f>
        <v>-55400</v>
      </c>
      <c r="AH40" s="11">
        <f>'Cash Flows Cumulative'!AH40-'Cash Flows Cumulative'!AG40</f>
        <v>0</v>
      </c>
      <c r="AI40" s="11">
        <f>'Cash Flows Cumulative'!AI40-'Cash Flows Cumulative'!AH40</f>
        <v>0</v>
      </c>
      <c r="AJ40" s="61">
        <f t="shared" si="58"/>
        <v>-56100</v>
      </c>
      <c r="AK40" s="44">
        <f>'Cash Flows Cumulative'!AK40</f>
        <v>0</v>
      </c>
      <c r="AL40" s="11">
        <f>'Cash Flows Cumulative'!AL40-'Cash Flows Cumulative'!AK40</f>
        <v>0</v>
      </c>
      <c r="AM40" s="11">
        <f>'Cash Flows Cumulative'!AM40-'Cash Flows Cumulative'!AL40</f>
        <v>0</v>
      </c>
      <c r="AN40" s="11">
        <f>'Cash Flows Cumulative'!AN40-'Cash Flows Cumulative'!AM40</f>
        <v>0</v>
      </c>
      <c r="AO40" s="61">
        <f t="shared" si="59"/>
        <v>0</v>
      </c>
      <c r="AP40" s="44">
        <f>'Cash Flows Cumulative'!AP40</f>
        <v>0</v>
      </c>
      <c r="AQ40" s="11">
        <f>'Cash Flows Cumulative'!AQ40-'Cash Flows Cumulative'!AP40</f>
        <v>0</v>
      </c>
      <c r="AR40" s="11">
        <f>'Cash Flows Cumulative'!AR40-'Cash Flows Cumulative'!AQ40</f>
        <v>0</v>
      </c>
      <c r="AS40" s="11">
        <f>'Cash Flows Cumulative'!AS40-'Cash Flows Cumulative'!AR40</f>
        <v>0</v>
      </c>
      <c r="AT40" s="61">
        <f t="shared" si="60"/>
        <v>0</v>
      </c>
      <c r="AU40" s="44">
        <f>'Cash Flows Cumulative'!AU40</f>
        <v>0</v>
      </c>
      <c r="AV40" s="11">
        <f>'Cash Flows Cumulative'!AV40-'Cash Flows Cumulative'!AU40</f>
        <v>0</v>
      </c>
      <c r="AW40" s="11">
        <f>'Cash Flows Cumulative'!AW40-'Cash Flows Cumulative'!AV40</f>
        <v>0</v>
      </c>
      <c r="AX40" s="11">
        <f>'Cash Flows Cumulative'!AX40-'Cash Flows Cumulative'!AW40</f>
        <v>0</v>
      </c>
      <c r="AY40" s="61">
        <f t="shared" si="61"/>
        <v>0</v>
      </c>
      <c r="AZ40" s="44">
        <f>'Cash Flows Cumulative'!AZ40</f>
        <v>0</v>
      </c>
      <c r="BA40" s="11">
        <f>'Cash Flows Cumulative'!BA40-'Cash Flows Cumulative'!AZ40</f>
        <v>-950</v>
      </c>
      <c r="BB40" s="11">
        <f>'Cash Flows Cumulative'!BB40-'Cash Flows Cumulative'!BA40</f>
        <v>0</v>
      </c>
      <c r="BC40" s="11">
        <f>'Cash Flows Cumulative'!BC40-'Cash Flows Cumulative'!BB40</f>
        <v>0</v>
      </c>
      <c r="BD40" s="61">
        <f t="shared" si="62"/>
        <v>-950</v>
      </c>
      <c r="BE40" s="44">
        <f>'Cash Flows Cumulative'!BE40</f>
        <v>0</v>
      </c>
      <c r="BF40" s="44">
        <f>'Cash Flows Cumulative'!BF40-'Cash Flows Cumulative'!BE40</f>
        <v>-197</v>
      </c>
      <c r="BG40" s="44">
        <f>'Cash Flows Cumulative'!BG40-'Cash Flows Cumulative'!BF40</f>
        <v>0</v>
      </c>
      <c r="BH40" s="11">
        <f>'Cash Flows Cumulative'!BH40-'Cash Flows Cumulative'!BG40</f>
        <v>0</v>
      </c>
      <c r="BI40" s="61">
        <f t="shared" si="63"/>
        <v>-197</v>
      </c>
      <c r="BJ40" s="44">
        <f>'Cash Flows Cumulative'!BJ40</f>
        <v>0</v>
      </c>
      <c r="BK40" s="44">
        <f>'Cash Flows Cumulative'!BK40-'Cash Flows Cumulative'!BJ40</f>
        <v>0</v>
      </c>
      <c r="BL40" s="44">
        <f>'Cash Flows Cumulative'!BL40-'Cash Flows Cumulative'!BK40</f>
        <v>378</v>
      </c>
      <c r="BM40" s="11">
        <f>'Cash Flows Cumulative'!BM40-'Cash Flows Cumulative'!BL40</f>
        <v>461</v>
      </c>
      <c r="BN40" s="61">
        <f t="shared" si="64"/>
        <v>839</v>
      </c>
      <c r="BO40" s="44">
        <f>'Cash Flows Cumulative'!BO40</f>
        <v>0</v>
      </c>
      <c r="BP40" s="44">
        <f>'Cash Flows Cumulative'!BP40-'Cash Flows Cumulative'!BO40</f>
        <v>0</v>
      </c>
      <c r="BQ40" s="44">
        <f>'Cash Flows Cumulative'!BQ40-'Cash Flows Cumulative'!BP40</f>
        <v>0</v>
      </c>
      <c r="BR40" s="11">
        <f>'Cash Flows Cumulative'!BR40-'Cash Flows Cumulative'!BQ40</f>
        <v>0</v>
      </c>
      <c r="BS40" s="61">
        <f t="shared" si="65"/>
        <v>0</v>
      </c>
      <c r="BT40" s="44">
        <f>'Cash Flows Cumulative'!BT40</f>
        <v>0</v>
      </c>
      <c r="BU40" s="44">
        <f>'Cash Flows Cumulative'!BU40-'Cash Flows Cumulative'!BT40</f>
        <v>0</v>
      </c>
      <c r="BV40" s="44">
        <f>'Cash Flows Cumulative'!BV40-'Cash Flows Cumulative'!BU40</f>
        <v>0</v>
      </c>
      <c r="BW40" s="44">
        <f>'Cash Flows Cumulative'!BW40-'Cash Flows Cumulative'!BV40</f>
        <v>0</v>
      </c>
      <c r="BX40" s="61">
        <f t="shared" si="66"/>
        <v>0</v>
      </c>
      <c r="BY40" s="44">
        <f>'Cash Flows Cumulative'!BY40</f>
        <v>0</v>
      </c>
      <c r="BZ40" s="44">
        <f>'Cash Flows Cumulative'!BZ40-'Cash Flows Cumulative'!BY40</f>
        <v>0</v>
      </c>
      <c r="CA40" s="44">
        <f>'Cash Flows Cumulative'!CA40-'Cash Flows Cumulative'!BZ40</f>
        <v>0</v>
      </c>
      <c r="CB40" s="44">
        <f>'Cash Flows Cumulative'!CB40-'Cash Flows Cumulative'!CA40</f>
        <v>0</v>
      </c>
      <c r="CC40" s="61">
        <f t="shared" si="67"/>
        <v>0</v>
      </c>
      <c r="CD40" s="44">
        <f>'Cash Flows Cumulative'!CD40</f>
        <v>0</v>
      </c>
      <c r="CE40" s="103">
        <f>'Cash Flows Cumulative'!CE40-'Cash Flows Cumulative'!CD40</f>
        <v>0</v>
      </c>
      <c r="CF40" s="103">
        <f>'Cash Flows Cumulative'!CF40-'Cash Flows Cumulative'!CE40</f>
        <v>0</v>
      </c>
      <c r="CG40" s="103">
        <f>'Cash Flows Cumulative'!CG40-'Cash Flows Cumulative'!CF40</f>
        <v>0</v>
      </c>
      <c r="CH40" s="61">
        <f t="shared" si="68"/>
        <v>0</v>
      </c>
      <c r="CI40" s="44">
        <f>'Cash Flows Cumulative'!CI40</f>
        <v>0</v>
      </c>
      <c r="CJ40" s="44">
        <f>'Cash Flows Cumulative'!CJ40-'Cash Flows Cumulative'!CI40</f>
        <v>0</v>
      </c>
      <c r="CK40" s="44">
        <f>'Cash Flows Cumulative'!CK40-'Cash Flows Cumulative'!CJ40</f>
        <v>0</v>
      </c>
      <c r="CL40" s="44">
        <f>'Cash Flows Cumulative'!CL40-'Cash Flows Cumulative'!CK40</f>
        <v>0</v>
      </c>
      <c r="CM40" s="61">
        <f t="shared" si="69"/>
        <v>0</v>
      </c>
      <c r="CN40" s="44">
        <f>'Cash Flows Cumulative'!CN40</f>
        <v>0</v>
      </c>
      <c r="CO40" s="44">
        <f>'Cash Flows Cumulative'!CO40-'Cash Flows Cumulative'!CN40</f>
        <v>0</v>
      </c>
      <c r="CP40" s="44"/>
      <c r="CQ40" s="44"/>
      <c r="CR40" s="61">
        <f t="shared" si="70"/>
        <v>0</v>
      </c>
    </row>
    <row r="41" spans="1:96" ht="11.15" customHeight="1" x14ac:dyDescent="0.2">
      <c r="A41" s="21" t="s">
        <v>70</v>
      </c>
      <c r="B41" s="44">
        <f>'Cash Flows Cumulative'!B41</f>
        <v>0</v>
      </c>
      <c r="C41" s="11">
        <f>'Cash Flows Cumulative'!C41-'Cash Flows Cumulative'!B41</f>
        <v>0</v>
      </c>
      <c r="D41" s="11">
        <f>'Cash Flows Cumulative'!D41-'Cash Flows Cumulative'!C41</f>
        <v>6376</v>
      </c>
      <c r="E41" s="11">
        <f>'Cash Flows Cumulative'!E41-'Cash Flows Cumulative'!D41</f>
        <v>8</v>
      </c>
      <c r="F41" s="61">
        <f t="shared" si="52"/>
        <v>6384</v>
      </c>
      <c r="G41" s="44">
        <f>'Cash Flows Cumulative'!G41</f>
        <v>0</v>
      </c>
      <c r="H41" s="11">
        <f>'Cash Flows Cumulative'!H41-'Cash Flows Cumulative'!G41</f>
        <v>0</v>
      </c>
      <c r="I41" s="11">
        <f>'Cash Flows Cumulative'!I41-'Cash Flows Cumulative'!H41</f>
        <v>0</v>
      </c>
      <c r="J41" s="11">
        <f>'Cash Flows Cumulative'!J41-'Cash Flows Cumulative'!I41</f>
        <v>0</v>
      </c>
      <c r="K41" s="61">
        <f t="shared" si="53"/>
        <v>0</v>
      </c>
      <c r="L41" s="44">
        <f>'Cash Flows Cumulative'!L41</f>
        <v>0</v>
      </c>
      <c r="M41" s="11">
        <f>'Cash Flows Cumulative'!M41-'Cash Flows Cumulative'!L41</f>
        <v>20043</v>
      </c>
      <c r="N41" s="11">
        <f>'Cash Flows Cumulative'!N41-'Cash Flows Cumulative'!M41</f>
        <v>1</v>
      </c>
      <c r="O41" s="11">
        <f>'Cash Flows Cumulative'!O41-'Cash Flows Cumulative'!N41</f>
        <v>-3</v>
      </c>
      <c r="P41" s="61">
        <f t="shared" si="54"/>
        <v>20041</v>
      </c>
      <c r="Q41" s="44">
        <f>'Cash Flows Cumulative'!Q41</f>
        <v>0</v>
      </c>
      <c r="R41" s="11">
        <f>'Cash Flows Cumulative'!R41-'Cash Flows Cumulative'!Q41</f>
        <v>0</v>
      </c>
      <c r="S41" s="11">
        <f>'Cash Flows Cumulative'!S41-'Cash Flows Cumulative'!R41</f>
        <v>0</v>
      </c>
      <c r="T41" s="11">
        <f>'Cash Flows Cumulative'!T41-'Cash Flows Cumulative'!S41</f>
        <v>0</v>
      </c>
      <c r="U41" s="61">
        <f t="shared" si="55"/>
        <v>0</v>
      </c>
      <c r="V41" s="44">
        <f>'Cash Flows Cumulative'!V41</f>
        <v>0</v>
      </c>
      <c r="W41" s="11">
        <f>'Cash Flows Cumulative'!W41-'Cash Flows Cumulative'!V41</f>
        <v>0</v>
      </c>
      <c r="X41" s="11">
        <f>'Cash Flows Cumulative'!X41-'Cash Flows Cumulative'!W41</f>
        <v>0</v>
      </c>
      <c r="Y41" s="11">
        <f>'Cash Flows Cumulative'!Y41-'Cash Flows Cumulative'!X41</f>
        <v>0</v>
      </c>
      <c r="Z41" s="61">
        <f t="shared" si="56"/>
        <v>0</v>
      </c>
      <c r="AA41" s="44">
        <f>'Cash Flows Cumulative'!AA41</f>
        <v>0</v>
      </c>
      <c r="AB41" s="11">
        <f>'Cash Flows Cumulative'!AB41-'Cash Flows Cumulative'!AA41</f>
        <v>0</v>
      </c>
      <c r="AC41" s="11">
        <f>'Cash Flows Cumulative'!AC41-'Cash Flows Cumulative'!AB41</f>
        <v>0</v>
      </c>
      <c r="AD41" s="11">
        <f>'Cash Flows Cumulative'!AD41-'Cash Flows Cumulative'!AC41</f>
        <v>0</v>
      </c>
      <c r="AE41" s="61">
        <f t="shared" si="57"/>
        <v>0</v>
      </c>
      <c r="AF41" s="44">
        <f>'Cash Flows Cumulative'!AF41</f>
        <v>0</v>
      </c>
      <c r="AG41" s="11">
        <f>'Cash Flows Cumulative'!AG41-'Cash Flows Cumulative'!AF41</f>
        <v>0</v>
      </c>
      <c r="AH41" s="11">
        <f>'Cash Flows Cumulative'!AH41-'Cash Flows Cumulative'!AG41</f>
        <v>0</v>
      </c>
      <c r="AI41" s="11">
        <f>'Cash Flows Cumulative'!AI41-'Cash Flows Cumulative'!AH41</f>
        <v>0</v>
      </c>
      <c r="AJ41" s="61">
        <f t="shared" si="58"/>
        <v>0</v>
      </c>
      <c r="AK41" s="44">
        <f>'Cash Flows Cumulative'!AK41</f>
        <v>0</v>
      </c>
      <c r="AL41" s="11">
        <f>'Cash Flows Cumulative'!AL41-'Cash Flows Cumulative'!AK41</f>
        <v>0</v>
      </c>
      <c r="AM41" s="11">
        <f>'Cash Flows Cumulative'!AM41-'Cash Flows Cumulative'!AL41</f>
        <v>0</v>
      </c>
      <c r="AN41" s="11">
        <f>'Cash Flows Cumulative'!AN41-'Cash Flows Cumulative'!AM41</f>
        <v>0</v>
      </c>
      <c r="AO41" s="61">
        <f t="shared" si="59"/>
        <v>0</v>
      </c>
      <c r="AP41" s="44">
        <f>'Cash Flows Cumulative'!AP41</f>
        <v>0</v>
      </c>
      <c r="AQ41" s="11">
        <f>'Cash Flows Cumulative'!AQ41-'Cash Flows Cumulative'!AP41</f>
        <v>0</v>
      </c>
      <c r="AR41" s="11">
        <f>'Cash Flows Cumulative'!AR41-'Cash Flows Cumulative'!AQ41</f>
        <v>0</v>
      </c>
      <c r="AS41" s="11">
        <f>'Cash Flows Cumulative'!AS41-'Cash Flows Cumulative'!AR41</f>
        <v>0</v>
      </c>
      <c r="AT41" s="61">
        <f t="shared" si="60"/>
        <v>0</v>
      </c>
      <c r="AU41" s="44">
        <f>'Cash Flows Cumulative'!AU41</f>
        <v>0</v>
      </c>
      <c r="AV41" s="11">
        <f>'Cash Flows Cumulative'!AV41-'Cash Flows Cumulative'!AU41</f>
        <v>0</v>
      </c>
      <c r="AW41" s="11">
        <f>'Cash Flows Cumulative'!AW41-'Cash Flows Cumulative'!AV41</f>
        <v>0</v>
      </c>
      <c r="AX41" s="11">
        <f>'Cash Flows Cumulative'!AX41-'Cash Flows Cumulative'!AW41</f>
        <v>0</v>
      </c>
      <c r="AY41" s="61">
        <f t="shared" si="61"/>
        <v>0</v>
      </c>
      <c r="AZ41" s="44">
        <f>'Cash Flows Cumulative'!AZ41</f>
        <v>0</v>
      </c>
      <c r="BA41" s="11">
        <f>'Cash Flows Cumulative'!BA41-'Cash Flows Cumulative'!AZ41</f>
        <v>23750</v>
      </c>
      <c r="BB41" s="11">
        <f>'Cash Flows Cumulative'!BB41-'Cash Flows Cumulative'!BA41</f>
        <v>0</v>
      </c>
      <c r="BC41" s="11">
        <f>'Cash Flows Cumulative'!BC41-'Cash Flows Cumulative'!BB41</f>
        <v>0</v>
      </c>
      <c r="BD41" s="61">
        <f t="shared" si="62"/>
        <v>23750</v>
      </c>
      <c r="BE41" s="44">
        <f>'Cash Flows Cumulative'!BE41</f>
        <v>0</v>
      </c>
      <c r="BF41" s="44">
        <f>'Cash Flows Cumulative'!BF41-'Cash Flows Cumulative'!BE41</f>
        <v>0</v>
      </c>
      <c r="BG41" s="44">
        <f>'Cash Flows Cumulative'!BG41-'Cash Flows Cumulative'!BF41</f>
        <v>28000</v>
      </c>
      <c r="BH41" s="11">
        <f>'Cash Flows Cumulative'!BH41-'Cash Flows Cumulative'!BG41</f>
        <v>0</v>
      </c>
      <c r="BI41" s="61">
        <f t="shared" si="63"/>
        <v>28000</v>
      </c>
      <c r="BJ41" s="44">
        <f>'Cash Flows Cumulative'!BJ41</f>
        <v>0</v>
      </c>
      <c r="BK41" s="44">
        <f>'Cash Flows Cumulative'!BK41-'Cash Flows Cumulative'!BJ41</f>
        <v>0</v>
      </c>
      <c r="BL41" s="44">
        <f>'Cash Flows Cumulative'!BL41-'Cash Flows Cumulative'!BK41</f>
        <v>0</v>
      </c>
      <c r="BM41" s="11">
        <f>'Cash Flows Cumulative'!BM41-'Cash Flows Cumulative'!BL41</f>
        <v>0</v>
      </c>
      <c r="BN41" s="61">
        <f t="shared" si="64"/>
        <v>0</v>
      </c>
      <c r="BO41" s="44">
        <f>'Cash Flows Cumulative'!BO41</f>
        <v>0</v>
      </c>
      <c r="BP41" s="44">
        <f>'Cash Flows Cumulative'!BP41-'Cash Flows Cumulative'!BO41</f>
        <v>0</v>
      </c>
      <c r="BQ41" s="44">
        <f>'Cash Flows Cumulative'!BQ41-'Cash Flows Cumulative'!BP41</f>
        <v>0</v>
      </c>
      <c r="BR41" s="11">
        <f>'Cash Flows Cumulative'!BR41-'Cash Flows Cumulative'!BQ41</f>
        <v>0</v>
      </c>
      <c r="BS41" s="61">
        <f t="shared" si="65"/>
        <v>0</v>
      </c>
      <c r="BT41" s="44">
        <f>'Cash Flows Cumulative'!BT41</f>
        <v>0</v>
      </c>
      <c r="BU41" s="44">
        <f>'Cash Flows Cumulative'!BU41-'Cash Flows Cumulative'!BT41</f>
        <v>0</v>
      </c>
      <c r="BV41" s="44">
        <f>'Cash Flows Cumulative'!BV41-'Cash Flows Cumulative'!BU41</f>
        <v>0</v>
      </c>
      <c r="BW41" s="44">
        <f>'Cash Flows Cumulative'!BW41-'Cash Flows Cumulative'!BV41</f>
        <v>0</v>
      </c>
      <c r="BX41" s="61">
        <f t="shared" si="66"/>
        <v>0</v>
      </c>
      <c r="BY41" s="44">
        <f>'Cash Flows Cumulative'!BY41</f>
        <v>0</v>
      </c>
      <c r="BZ41" s="44">
        <f>'Cash Flows Cumulative'!BZ41-'Cash Flows Cumulative'!BY41</f>
        <v>0</v>
      </c>
      <c r="CA41" s="44">
        <f>'Cash Flows Cumulative'!CA41-'Cash Flows Cumulative'!BZ41</f>
        <v>0</v>
      </c>
      <c r="CB41" s="44">
        <f>'Cash Flows Cumulative'!CB41-'Cash Flows Cumulative'!CA41</f>
        <v>0</v>
      </c>
      <c r="CC41" s="61">
        <f t="shared" si="67"/>
        <v>0</v>
      </c>
      <c r="CD41" s="44">
        <f>'Cash Flows Cumulative'!CD41</f>
        <v>0</v>
      </c>
      <c r="CE41" s="103">
        <f>'Cash Flows Cumulative'!CE41-'Cash Flows Cumulative'!CD41</f>
        <v>0</v>
      </c>
      <c r="CF41" s="103">
        <f>'Cash Flows Cumulative'!CF41-'Cash Flows Cumulative'!CE41</f>
        <v>0</v>
      </c>
      <c r="CG41" s="103">
        <f>'Cash Flows Cumulative'!CG41-'Cash Flows Cumulative'!CF41</f>
        <v>0</v>
      </c>
      <c r="CH41" s="61">
        <f t="shared" si="68"/>
        <v>0</v>
      </c>
      <c r="CI41" s="44">
        <f>'Cash Flows Cumulative'!CI41</f>
        <v>0</v>
      </c>
      <c r="CJ41" s="44">
        <f>'Cash Flows Cumulative'!CJ41-'Cash Flows Cumulative'!CI41</f>
        <v>0</v>
      </c>
      <c r="CK41" s="44">
        <f>'Cash Flows Cumulative'!CK41-'Cash Flows Cumulative'!CJ41</f>
        <v>0</v>
      </c>
      <c r="CL41" s="44">
        <f>'Cash Flows Cumulative'!CL41-'Cash Flows Cumulative'!CK41</f>
        <v>0</v>
      </c>
      <c r="CM41" s="61">
        <f t="shared" si="69"/>
        <v>0</v>
      </c>
      <c r="CN41" s="44">
        <f>'Cash Flows Cumulative'!CN41</f>
        <v>0</v>
      </c>
      <c r="CO41" s="44">
        <f>'Cash Flows Cumulative'!CO41-'Cash Flows Cumulative'!CN41</f>
        <v>0</v>
      </c>
      <c r="CP41" s="44"/>
      <c r="CQ41" s="44"/>
      <c r="CR41" s="61">
        <f t="shared" si="70"/>
        <v>0</v>
      </c>
    </row>
    <row r="42" spans="1:96" ht="11.15" customHeight="1" x14ac:dyDescent="0.2">
      <c r="A42" s="21" t="s">
        <v>71</v>
      </c>
      <c r="B42" s="44">
        <f>'Cash Flows Cumulative'!B42</f>
        <v>-2142</v>
      </c>
      <c r="C42" s="11">
        <f>'Cash Flows Cumulative'!C42-'Cash Flows Cumulative'!B42</f>
        <v>-546</v>
      </c>
      <c r="D42" s="11">
        <f>'Cash Flows Cumulative'!D42-'Cash Flows Cumulative'!C42</f>
        <v>-2540</v>
      </c>
      <c r="E42" s="11">
        <f>'Cash Flows Cumulative'!E42-'Cash Flows Cumulative'!D42</f>
        <v>-5456</v>
      </c>
      <c r="F42" s="61">
        <f t="shared" si="52"/>
        <v>-10684</v>
      </c>
      <c r="G42" s="44">
        <f>'Cash Flows Cumulative'!G42</f>
        <v>-18177</v>
      </c>
      <c r="H42" s="11">
        <f>'Cash Flows Cumulative'!H42-'Cash Flows Cumulative'!G42</f>
        <v>0</v>
      </c>
      <c r="I42" s="11">
        <f>'Cash Flows Cumulative'!I42-'Cash Flows Cumulative'!H42</f>
        <v>0</v>
      </c>
      <c r="J42" s="11">
        <f>'Cash Flows Cumulative'!J42-'Cash Flows Cumulative'!I42</f>
        <v>0</v>
      </c>
      <c r="K42" s="61">
        <f t="shared" si="53"/>
        <v>-18177</v>
      </c>
      <c r="L42" s="44">
        <f>'Cash Flows Cumulative'!L42</f>
        <v>0</v>
      </c>
      <c r="M42" s="11">
        <f>'Cash Flows Cumulative'!M42-'Cash Flows Cumulative'!L42</f>
        <v>-19499</v>
      </c>
      <c r="N42" s="11">
        <f>'Cash Flows Cumulative'!N42-'Cash Flows Cumulative'!M42</f>
        <v>-356</v>
      </c>
      <c r="O42" s="11">
        <f>'Cash Flows Cumulative'!O42-'Cash Flows Cumulative'!N42</f>
        <v>-341</v>
      </c>
      <c r="P42" s="61">
        <f t="shared" si="54"/>
        <v>-20196</v>
      </c>
      <c r="Q42" s="44">
        <f>'Cash Flows Cumulative'!Q42</f>
        <v>-344</v>
      </c>
      <c r="R42" s="11">
        <f>'Cash Flows Cumulative'!R42-'Cash Flows Cumulative'!Q42</f>
        <v>-333</v>
      </c>
      <c r="S42" s="11">
        <f>'Cash Flows Cumulative'!S42-'Cash Flows Cumulative'!R42</f>
        <v>-334</v>
      </c>
      <c r="T42" s="11">
        <f>'Cash Flows Cumulative'!T42-'Cash Flows Cumulative'!S42</f>
        <v>-333</v>
      </c>
      <c r="U42" s="61">
        <f t="shared" si="55"/>
        <v>-1344</v>
      </c>
      <c r="V42" s="44">
        <f>'Cash Flows Cumulative'!V42</f>
        <v>-333</v>
      </c>
      <c r="W42" s="11">
        <f>'Cash Flows Cumulative'!W42-'Cash Flows Cumulative'!V42</f>
        <v>-334</v>
      </c>
      <c r="X42" s="11">
        <f>'Cash Flows Cumulative'!X42-'Cash Flows Cumulative'!W42</f>
        <v>-333</v>
      </c>
      <c r="Y42" s="11">
        <f>'Cash Flows Cumulative'!Y42-'Cash Flows Cumulative'!X42</f>
        <v>-333</v>
      </c>
      <c r="Z42" s="61">
        <f t="shared" si="56"/>
        <v>-1333</v>
      </c>
      <c r="AA42" s="44">
        <f>'Cash Flows Cumulative'!AA42</f>
        <v>-333</v>
      </c>
      <c r="AB42" s="11">
        <f>'Cash Flows Cumulative'!AB42-'Cash Flows Cumulative'!AA42</f>
        <v>-333</v>
      </c>
      <c r="AC42" s="11">
        <f>'Cash Flows Cumulative'!AC42-'Cash Flows Cumulative'!AB42</f>
        <v>-380</v>
      </c>
      <c r="AD42" s="11">
        <f>'Cash Flows Cumulative'!AD42-'Cash Flows Cumulative'!AC42</f>
        <v>-386</v>
      </c>
      <c r="AE42" s="61">
        <f t="shared" si="57"/>
        <v>-1432</v>
      </c>
      <c r="AF42" s="44">
        <f>'Cash Flows Cumulative'!AF42</f>
        <v>-360</v>
      </c>
      <c r="AG42" s="11">
        <f>'Cash Flows Cumulative'!AG42-'Cash Flows Cumulative'!AF42</f>
        <v>-1116</v>
      </c>
      <c r="AH42" s="11">
        <f>'Cash Flows Cumulative'!AH42-'Cash Flows Cumulative'!AG42</f>
        <v>-372</v>
      </c>
      <c r="AI42" s="11">
        <f>'Cash Flows Cumulative'!AI42-'Cash Flows Cumulative'!AH42</f>
        <v>-269</v>
      </c>
      <c r="AJ42" s="61">
        <f t="shared" si="58"/>
        <v>-2117</v>
      </c>
      <c r="AK42" s="44">
        <f>'Cash Flows Cumulative'!AK42</f>
        <v>-1640</v>
      </c>
      <c r="AL42" s="11">
        <f>'Cash Flows Cumulative'!AL42-'Cash Flows Cumulative'!AK42</f>
        <v>-546</v>
      </c>
      <c r="AM42" s="11">
        <f>'Cash Flows Cumulative'!AM42-'Cash Flows Cumulative'!AL42</f>
        <v>-333</v>
      </c>
      <c r="AN42" s="11">
        <f>'Cash Flows Cumulative'!AN42-'Cash Flows Cumulative'!AM42</f>
        <v>-334</v>
      </c>
      <c r="AO42" s="61">
        <f t="shared" si="59"/>
        <v>-2853</v>
      </c>
      <c r="AP42" s="44">
        <f>'Cash Flows Cumulative'!AP42</f>
        <v>-333</v>
      </c>
      <c r="AQ42" s="11">
        <f>'Cash Flows Cumulative'!AQ42-'Cash Flows Cumulative'!AP42</f>
        <v>-334</v>
      </c>
      <c r="AR42" s="11">
        <f>'Cash Flows Cumulative'!AR42-'Cash Flows Cumulative'!AQ42</f>
        <v>-333</v>
      </c>
      <c r="AS42" s="11">
        <f>'Cash Flows Cumulative'!AS42-'Cash Flows Cumulative'!AR42</f>
        <v>-667</v>
      </c>
      <c r="AT42" s="61">
        <f t="shared" si="60"/>
        <v>-1667</v>
      </c>
      <c r="AU42" s="44">
        <f>'Cash Flows Cumulative'!AU42</f>
        <v>-833</v>
      </c>
      <c r="AV42" s="11">
        <f>'Cash Flows Cumulative'!AV42-'Cash Flows Cumulative'!AU42</f>
        <v>-11500</v>
      </c>
      <c r="AW42" s="11">
        <f>'Cash Flows Cumulative'!AW42-'Cash Flows Cumulative'!AV42</f>
        <v>-500</v>
      </c>
      <c r="AX42" s="11">
        <f>'Cash Flows Cumulative'!AX42-'Cash Flows Cumulative'!AW42</f>
        <v>-500</v>
      </c>
      <c r="AY42" s="61">
        <f t="shared" si="61"/>
        <v>-13333</v>
      </c>
      <c r="AZ42" s="44">
        <f>'Cash Flows Cumulative'!AZ42</f>
        <v>-500</v>
      </c>
      <c r="BA42" s="11">
        <f>'Cash Flows Cumulative'!BA42-'Cash Flows Cumulative'!AZ42</f>
        <v>-500</v>
      </c>
      <c r="BB42" s="11">
        <f>'Cash Flows Cumulative'!BB42-'Cash Flows Cumulative'!BA42</f>
        <v>-797</v>
      </c>
      <c r="BC42" s="11">
        <f>'Cash Flows Cumulative'!BC42-'Cash Flows Cumulative'!BB42</f>
        <v>-797</v>
      </c>
      <c r="BD42" s="61">
        <f t="shared" si="62"/>
        <v>-2594</v>
      </c>
      <c r="BE42" s="44">
        <f>'Cash Flows Cumulative'!BE42</f>
        <v>-797</v>
      </c>
      <c r="BF42" s="44">
        <f>'Cash Flows Cumulative'!BF42-'Cash Flows Cumulative'!BE42</f>
        <v>-17463</v>
      </c>
      <c r="BG42" s="44">
        <f>'Cash Flows Cumulative'!BG42-'Cash Flows Cumulative'!BF42</f>
        <v>-691</v>
      </c>
      <c r="BH42" s="11">
        <f>'Cash Flows Cumulative'!BH42-'Cash Flows Cumulative'!BG42</f>
        <v>-891</v>
      </c>
      <c r="BI42" s="61">
        <f t="shared" si="63"/>
        <v>-19842</v>
      </c>
      <c r="BJ42" s="44">
        <f>'Cash Flows Cumulative'!BJ42</f>
        <v>-895</v>
      </c>
      <c r="BK42" s="44">
        <f>'Cash Flows Cumulative'!BK42-'Cash Flows Cumulative'!BJ42</f>
        <v>-899</v>
      </c>
      <c r="BL42" s="44">
        <f>'Cash Flows Cumulative'!BL42-'Cash Flows Cumulative'!BK42</f>
        <v>-902</v>
      </c>
      <c r="BM42" s="11">
        <f>'Cash Flows Cumulative'!BM42-'Cash Flows Cumulative'!BL42</f>
        <v>-908</v>
      </c>
      <c r="BN42" s="61">
        <f t="shared" si="64"/>
        <v>-3604</v>
      </c>
      <c r="BO42" s="44">
        <f>'Cash Flows Cumulative'!BO42</f>
        <v>-911</v>
      </c>
      <c r="BP42" s="44">
        <f>'Cash Flows Cumulative'!BP42-'Cash Flows Cumulative'!BO42</f>
        <v>-916</v>
      </c>
      <c r="BQ42" s="44">
        <f>'Cash Flows Cumulative'!BQ42-'Cash Flows Cumulative'!BP42</f>
        <v>-920</v>
      </c>
      <c r="BR42" s="11">
        <f>'Cash Flows Cumulative'!BR42-'Cash Flows Cumulative'!BQ42</f>
        <v>-924</v>
      </c>
      <c r="BS42" s="61">
        <f t="shared" si="65"/>
        <v>-3671</v>
      </c>
      <c r="BT42" s="44">
        <f>'Cash Flows Cumulative'!BT42</f>
        <v>-928</v>
      </c>
      <c r="BU42" s="44">
        <f>'Cash Flows Cumulative'!BU42-'Cash Flows Cumulative'!BT42</f>
        <v>-934</v>
      </c>
      <c r="BV42" s="44">
        <f>'Cash Flows Cumulative'!BV42-'Cash Flows Cumulative'!BU42</f>
        <v>-936</v>
      </c>
      <c r="BW42" s="44">
        <f>'Cash Flows Cumulative'!BW42-'Cash Flows Cumulative'!BV42</f>
        <v>-942</v>
      </c>
      <c r="BX42" s="61">
        <f t="shared" si="66"/>
        <v>-3740</v>
      </c>
      <c r="BY42" s="44">
        <f>'Cash Flows Cumulative'!BY42</f>
        <v>-946</v>
      </c>
      <c r="BZ42" s="44">
        <f>'Cash Flows Cumulative'!BZ42-'Cash Flows Cumulative'!BY42</f>
        <v>-950</v>
      </c>
      <c r="CA42" s="44">
        <f>'Cash Flows Cumulative'!CA42-'Cash Flows Cumulative'!BZ42</f>
        <v>-955</v>
      </c>
      <c r="CB42" s="44">
        <f>'Cash Flows Cumulative'!CB42-'Cash Flows Cumulative'!CA42</f>
        <v>-959</v>
      </c>
      <c r="CC42" s="61">
        <f t="shared" si="67"/>
        <v>-3810</v>
      </c>
      <c r="CD42" s="44">
        <f>'Cash Flows Cumulative'!CD42</f>
        <v>-964</v>
      </c>
      <c r="CE42" s="103">
        <f>'Cash Flows Cumulative'!CE42-'Cash Flows Cumulative'!CD42</f>
        <v>-968</v>
      </c>
      <c r="CF42" s="103">
        <f>'Cash Flows Cumulative'!CF42-'Cash Flows Cumulative'!CE42</f>
        <v>-15897</v>
      </c>
      <c r="CG42" s="103">
        <f>'Cash Flows Cumulative'!CG42-'Cash Flows Cumulative'!CF42</f>
        <v>-297</v>
      </c>
      <c r="CH42" s="61">
        <f t="shared" si="68"/>
        <v>-18126</v>
      </c>
      <c r="CI42" s="44">
        <f>'Cash Flows Cumulative'!CI42</f>
        <v>-298</v>
      </c>
      <c r="CJ42" s="44">
        <f>'Cash Flows Cumulative'!CJ42-'Cash Flows Cumulative'!CI42</f>
        <v>-15733</v>
      </c>
      <c r="CK42" s="44">
        <f>'Cash Flows Cumulative'!CK42-'Cash Flows Cumulative'!CJ42</f>
        <v>0</v>
      </c>
      <c r="CL42" s="44">
        <f>'Cash Flows Cumulative'!CL42-'Cash Flows Cumulative'!CK42</f>
        <v>0</v>
      </c>
      <c r="CM42" s="61">
        <f t="shared" si="69"/>
        <v>-16031</v>
      </c>
      <c r="CN42" s="44">
        <f>'Cash Flows Cumulative'!CN42</f>
        <v>0</v>
      </c>
      <c r="CO42" s="44">
        <f>'Cash Flows Cumulative'!CO42-'Cash Flows Cumulative'!CN42</f>
        <v>0</v>
      </c>
      <c r="CP42" s="44"/>
      <c r="CQ42" s="44"/>
      <c r="CR42" s="61">
        <f t="shared" si="70"/>
        <v>0</v>
      </c>
    </row>
    <row r="43" spans="1:96" ht="11.15" customHeight="1" x14ac:dyDescent="0.2">
      <c r="A43" s="21" t="s">
        <v>72</v>
      </c>
      <c r="B43" s="44">
        <f>'Cash Flows Cumulative'!B43</f>
        <v>545</v>
      </c>
      <c r="C43" s="11">
        <f>'Cash Flows Cumulative'!C43-'Cash Flows Cumulative'!B43</f>
        <v>360</v>
      </c>
      <c r="D43" s="11">
        <f>'Cash Flows Cumulative'!D43-'Cash Flows Cumulative'!C43</f>
        <v>128</v>
      </c>
      <c r="E43" s="11">
        <f>'Cash Flows Cumulative'!E43-'Cash Flows Cumulative'!D43</f>
        <v>241</v>
      </c>
      <c r="F43" s="61">
        <f t="shared" si="52"/>
        <v>1274</v>
      </c>
      <c r="G43" s="44">
        <f>'Cash Flows Cumulative'!G43</f>
        <v>23</v>
      </c>
      <c r="H43" s="11">
        <f>'Cash Flows Cumulative'!H43-'Cash Flows Cumulative'!G43</f>
        <v>828</v>
      </c>
      <c r="I43" s="11">
        <f>'Cash Flows Cumulative'!I43-'Cash Flows Cumulative'!H43</f>
        <v>841</v>
      </c>
      <c r="J43" s="11">
        <f>'Cash Flows Cumulative'!J43-'Cash Flows Cumulative'!I43</f>
        <v>1368</v>
      </c>
      <c r="K43" s="61">
        <f t="shared" si="53"/>
        <v>3060</v>
      </c>
      <c r="L43" s="44">
        <f>'Cash Flows Cumulative'!L43</f>
        <v>310</v>
      </c>
      <c r="M43" s="11">
        <f>'Cash Flows Cumulative'!M43-'Cash Flows Cumulative'!L43</f>
        <v>1055</v>
      </c>
      <c r="N43" s="11">
        <f>'Cash Flows Cumulative'!N43-'Cash Flows Cumulative'!M43</f>
        <v>994</v>
      </c>
      <c r="O43" s="11">
        <f>'Cash Flows Cumulative'!O43-'Cash Flows Cumulative'!N43</f>
        <v>2600</v>
      </c>
      <c r="P43" s="61">
        <f t="shared" si="54"/>
        <v>4959</v>
      </c>
      <c r="Q43" s="44">
        <f>'Cash Flows Cumulative'!Q43</f>
        <v>137</v>
      </c>
      <c r="R43" s="11">
        <f>'Cash Flows Cumulative'!R43-'Cash Flows Cumulative'!Q43</f>
        <v>340</v>
      </c>
      <c r="S43" s="11">
        <f>'Cash Flows Cumulative'!S43-'Cash Flows Cumulative'!R43</f>
        <v>1644</v>
      </c>
      <c r="T43" s="11">
        <f>'Cash Flows Cumulative'!T43-'Cash Flows Cumulative'!S43</f>
        <v>1296</v>
      </c>
      <c r="U43" s="61">
        <f t="shared" si="55"/>
        <v>3417</v>
      </c>
      <c r="V43" s="44">
        <f>'Cash Flows Cumulative'!V43</f>
        <v>211</v>
      </c>
      <c r="W43" s="11">
        <f>'Cash Flows Cumulative'!W43-'Cash Flows Cumulative'!V43</f>
        <v>1055</v>
      </c>
      <c r="X43" s="11">
        <f>'Cash Flows Cumulative'!X43-'Cash Flows Cumulative'!W43</f>
        <v>5448</v>
      </c>
      <c r="Y43" s="11">
        <f>'Cash Flows Cumulative'!Y43-'Cash Flows Cumulative'!X43</f>
        <v>-416</v>
      </c>
      <c r="Z43" s="61">
        <f t="shared" si="56"/>
        <v>6298</v>
      </c>
      <c r="AA43" s="44">
        <f>'Cash Flows Cumulative'!AA43</f>
        <v>4884</v>
      </c>
      <c r="AB43" s="11">
        <f>'Cash Flows Cumulative'!AB43-'Cash Flows Cumulative'!AA43</f>
        <v>-895</v>
      </c>
      <c r="AC43" s="11">
        <f>'Cash Flows Cumulative'!AC43-'Cash Flows Cumulative'!AB43</f>
        <v>502</v>
      </c>
      <c r="AD43" s="11">
        <f>'Cash Flows Cumulative'!AD43-'Cash Flows Cumulative'!AC43</f>
        <v>777</v>
      </c>
      <c r="AE43" s="61">
        <f t="shared" si="57"/>
        <v>5268</v>
      </c>
      <c r="AF43" s="44">
        <f>'Cash Flows Cumulative'!AF43</f>
        <v>749</v>
      </c>
      <c r="AG43" s="11">
        <f>'Cash Flows Cumulative'!AG43-'Cash Flows Cumulative'!AF43</f>
        <v>1500</v>
      </c>
      <c r="AH43" s="11">
        <f>'Cash Flows Cumulative'!AH43-'Cash Flows Cumulative'!AG43</f>
        <v>2026</v>
      </c>
      <c r="AI43" s="11">
        <f>'Cash Flows Cumulative'!AI43-'Cash Flows Cumulative'!AH43</f>
        <v>1205</v>
      </c>
      <c r="AJ43" s="61">
        <f t="shared" si="58"/>
        <v>5480</v>
      </c>
      <c r="AK43" s="44">
        <f>'Cash Flows Cumulative'!AK43</f>
        <v>720</v>
      </c>
      <c r="AL43" s="11">
        <f>'Cash Flows Cumulative'!AL43-'Cash Flows Cumulative'!AK43</f>
        <v>1457</v>
      </c>
      <c r="AM43" s="11">
        <f>'Cash Flows Cumulative'!AM43-'Cash Flows Cumulative'!AL43</f>
        <v>1051</v>
      </c>
      <c r="AN43" s="11">
        <f>'Cash Flows Cumulative'!AN43-'Cash Flows Cumulative'!AM43</f>
        <v>4047</v>
      </c>
      <c r="AO43" s="61">
        <f t="shared" si="59"/>
        <v>7275</v>
      </c>
      <c r="AP43" s="44">
        <f>'Cash Flows Cumulative'!AP43</f>
        <v>611</v>
      </c>
      <c r="AQ43" s="11">
        <f>'Cash Flows Cumulative'!AQ43-'Cash Flows Cumulative'!AP43</f>
        <v>2768</v>
      </c>
      <c r="AR43" s="11">
        <f>'Cash Flows Cumulative'!AR43-'Cash Flows Cumulative'!AQ43</f>
        <v>351</v>
      </c>
      <c r="AS43" s="11">
        <f>'Cash Flows Cumulative'!AS43-'Cash Flows Cumulative'!AR43</f>
        <v>3828</v>
      </c>
      <c r="AT43" s="61">
        <f t="shared" si="60"/>
        <v>7558</v>
      </c>
      <c r="AU43" s="44">
        <f>'Cash Flows Cumulative'!AU43</f>
        <v>4409</v>
      </c>
      <c r="AV43" s="11">
        <f>'Cash Flows Cumulative'!AV43-'Cash Flows Cumulative'!AU43</f>
        <v>5165</v>
      </c>
      <c r="AW43" s="11">
        <f>'Cash Flows Cumulative'!AW43-'Cash Flows Cumulative'!AV43</f>
        <v>915</v>
      </c>
      <c r="AX43" s="11">
        <f>'Cash Flows Cumulative'!AX43-'Cash Flows Cumulative'!AW43</f>
        <v>3643</v>
      </c>
      <c r="AY43" s="61">
        <f t="shared" si="61"/>
        <v>14132</v>
      </c>
      <c r="AZ43" s="44">
        <f>'Cash Flows Cumulative'!AZ43</f>
        <v>2644</v>
      </c>
      <c r="BA43" s="11">
        <f>'Cash Flows Cumulative'!BA43-'Cash Flows Cumulative'!AZ43</f>
        <v>5935</v>
      </c>
      <c r="BB43" s="11">
        <f>'Cash Flows Cumulative'!BB43-'Cash Flows Cumulative'!BA43</f>
        <v>607</v>
      </c>
      <c r="BC43" s="11">
        <f>'Cash Flows Cumulative'!BC43-'Cash Flows Cumulative'!BB43</f>
        <v>6997</v>
      </c>
      <c r="BD43" s="61">
        <f t="shared" si="62"/>
        <v>16183</v>
      </c>
      <c r="BE43" s="44">
        <f>'Cash Flows Cumulative'!BE43</f>
        <v>9600</v>
      </c>
      <c r="BF43" s="44">
        <f>'Cash Flows Cumulative'!BF43-'Cash Flows Cumulative'!BE43</f>
        <v>7552</v>
      </c>
      <c r="BG43" s="44">
        <f>'Cash Flows Cumulative'!BG43-'Cash Flows Cumulative'!BF43</f>
        <v>6144</v>
      </c>
      <c r="BH43" s="11">
        <f>'Cash Flows Cumulative'!BH43-'Cash Flows Cumulative'!BG43</f>
        <v>5358</v>
      </c>
      <c r="BI43" s="61">
        <f t="shared" si="63"/>
        <v>28654</v>
      </c>
      <c r="BJ43" s="44">
        <f>'Cash Flows Cumulative'!BJ43</f>
        <v>3113</v>
      </c>
      <c r="BK43" s="44">
        <f>'Cash Flows Cumulative'!BK43-'Cash Flows Cumulative'!BJ43</f>
        <v>7518</v>
      </c>
      <c r="BL43" s="44">
        <f>'Cash Flows Cumulative'!BL43-'Cash Flows Cumulative'!BK43</f>
        <v>1484</v>
      </c>
      <c r="BM43" s="11">
        <f>'Cash Flows Cumulative'!BM43-'Cash Flows Cumulative'!BL43</f>
        <v>68</v>
      </c>
      <c r="BN43" s="61">
        <f t="shared" si="64"/>
        <v>12183</v>
      </c>
      <c r="BO43" s="44">
        <f>'Cash Flows Cumulative'!BO43</f>
        <v>-6149</v>
      </c>
      <c r="BP43" s="44">
        <f>'Cash Flows Cumulative'!BP43-'Cash Flows Cumulative'!BO43</f>
        <v>6117</v>
      </c>
      <c r="BQ43" s="44">
        <f>'Cash Flows Cumulative'!BQ43-'Cash Flows Cumulative'!BP43</f>
        <v>1676</v>
      </c>
      <c r="BR43" s="11">
        <f>'Cash Flows Cumulative'!BR43-'Cash Flows Cumulative'!BQ43</f>
        <v>5692</v>
      </c>
      <c r="BS43" s="61">
        <f t="shared" si="65"/>
        <v>7336</v>
      </c>
      <c r="BT43" s="44">
        <f>'Cash Flows Cumulative'!BT43</f>
        <v>-5498</v>
      </c>
      <c r="BU43" s="44">
        <f>'Cash Flows Cumulative'!BU43-'Cash Flows Cumulative'!BT43</f>
        <v>13769</v>
      </c>
      <c r="BV43" s="44">
        <f>'Cash Flows Cumulative'!BV43-'Cash Flows Cumulative'!BU43</f>
        <v>8496</v>
      </c>
      <c r="BW43" s="44">
        <f>'Cash Flows Cumulative'!BW43-'Cash Flows Cumulative'!BV43</f>
        <v>16427</v>
      </c>
      <c r="BX43" s="61">
        <f t="shared" si="66"/>
        <v>33194</v>
      </c>
      <c r="BY43" s="44">
        <f>'Cash Flows Cumulative'!BY43</f>
        <v>4981</v>
      </c>
      <c r="BZ43" s="44">
        <f>'Cash Flows Cumulative'!BZ43-'Cash Flows Cumulative'!BY43</f>
        <v>5586</v>
      </c>
      <c r="CA43" s="44">
        <f>'Cash Flows Cumulative'!CA43-'Cash Flows Cumulative'!BZ43</f>
        <v>860</v>
      </c>
      <c r="CB43" s="44">
        <f>'Cash Flows Cumulative'!CB43-'Cash Flows Cumulative'!CA43</f>
        <v>4831</v>
      </c>
      <c r="CC43" s="61">
        <f t="shared" si="67"/>
        <v>16258</v>
      </c>
      <c r="CD43" s="44">
        <f>'Cash Flows Cumulative'!CD43</f>
        <v>-724</v>
      </c>
      <c r="CE43" s="103">
        <f>'Cash Flows Cumulative'!CE43-'Cash Flows Cumulative'!CD43</f>
        <v>2812</v>
      </c>
      <c r="CF43" s="103">
        <f>'Cash Flows Cumulative'!CF43-'Cash Flows Cumulative'!CE43</f>
        <v>265</v>
      </c>
      <c r="CG43" s="103">
        <f>'Cash Flows Cumulative'!CG43-'Cash Flows Cumulative'!CF43</f>
        <v>3230</v>
      </c>
      <c r="CH43" s="61">
        <f t="shared" si="68"/>
        <v>5583</v>
      </c>
      <c r="CI43" s="44">
        <f>'Cash Flows Cumulative'!CI43</f>
        <v>-3844</v>
      </c>
      <c r="CJ43" s="44">
        <f>'Cash Flows Cumulative'!CJ43-'Cash Flows Cumulative'!CI43</f>
        <v>3113</v>
      </c>
      <c r="CK43" s="44">
        <f>'Cash Flows Cumulative'!CK43-'Cash Flows Cumulative'!CJ43</f>
        <v>299</v>
      </c>
      <c r="CL43" s="44">
        <f>'Cash Flows Cumulative'!CL43-'Cash Flows Cumulative'!CK43</f>
        <v>3579</v>
      </c>
      <c r="CM43" s="61">
        <f t="shared" si="69"/>
        <v>3147</v>
      </c>
      <c r="CN43" s="44">
        <f>'Cash Flows Cumulative'!CN43</f>
        <v>-1158</v>
      </c>
      <c r="CO43" s="44">
        <f>'Cash Flows Cumulative'!CO43-'Cash Flows Cumulative'!CN43</f>
        <v>2950</v>
      </c>
      <c r="CP43" s="44"/>
      <c r="CQ43" s="44"/>
      <c r="CR43" s="61">
        <f t="shared" si="70"/>
        <v>1792</v>
      </c>
    </row>
    <row r="44" spans="1:96" ht="11.15" customHeight="1" x14ac:dyDescent="0.2">
      <c r="A44" s="21" t="s">
        <v>89</v>
      </c>
      <c r="B44" s="44">
        <f>'Cash Flows Cumulative'!B44</f>
        <v>0</v>
      </c>
      <c r="C44" s="11">
        <f>'Cash Flows Cumulative'!C44-'Cash Flows Cumulative'!B44</f>
        <v>0</v>
      </c>
      <c r="D44" s="11">
        <f>'Cash Flows Cumulative'!D44-'Cash Flows Cumulative'!C44</f>
        <v>0</v>
      </c>
      <c r="E44" s="11">
        <f>'Cash Flows Cumulative'!E44-'Cash Flows Cumulative'!D44</f>
        <v>0</v>
      </c>
      <c r="F44" s="61">
        <f t="shared" si="52"/>
        <v>0</v>
      </c>
      <c r="G44" s="44">
        <f>'Cash Flows Cumulative'!G44</f>
        <v>0</v>
      </c>
      <c r="H44" s="11">
        <f>'Cash Flows Cumulative'!H44-'Cash Flows Cumulative'!G44</f>
        <v>0</v>
      </c>
      <c r="I44" s="11">
        <f>'Cash Flows Cumulative'!I44-'Cash Flows Cumulative'!H44</f>
        <v>0</v>
      </c>
      <c r="J44" s="11">
        <f>'Cash Flows Cumulative'!J44-'Cash Flows Cumulative'!I44</f>
        <v>0</v>
      </c>
      <c r="K44" s="61">
        <f t="shared" si="53"/>
        <v>0</v>
      </c>
      <c r="L44" s="44">
        <f>'Cash Flows Cumulative'!L44</f>
        <v>0</v>
      </c>
      <c r="M44" s="11">
        <f>'Cash Flows Cumulative'!M44-'Cash Flows Cumulative'!L44</f>
        <v>0</v>
      </c>
      <c r="N44" s="11">
        <f>'Cash Flows Cumulative'!N44-'Cash Flows Cumulative'!M44</f>
        <v>0</v>
      </c>
      <c r="O44" s="11">
        <f>'Cash Flows Cumulative'!O44-'Cash Flows Cumulative'!N44</f>
        <v>0</v>
      </c>
      <c r="P44" s="61">
        <f t="shared" si="54"/>
        <v>0</v>
      </c>
      <c r="Q44" s="44">
        <f>'Cash Flows Cumulative'!Q44</f>
        <v>0</v>
      </c>
      <c r="R44" s="11">
        <f>'Cash Flows Cumulative'!R44-'Cash Flows Cumulative'!Q44</f>
        <v>0</v>
      </c>
      <c r="S44" s="11">
        <f>'Cash Flows Cumulative'!S44-'Cash Flows Cumulative'!R44</f>
        <v>0</v>
      </c>
      <c r="T44" s="11">
        <f>'Cash Flows Cumulative'!T44-'Cash Flows Cumulative'!S44</f>
        <v>0</v>
      </c>
      <c r="U44" s="61">
        <f t="shared" si="55"/>
        <v>0</v>
      </c>
      <c r="V44" s="44">
        <f>'Cash Flows Cumulative'!V44</f>
        <v>0</v>
      </c>
      <c r="W44" s="11">
        <f>'Cash Flows Cumulative'!W44-'Cash Flows Cumulative'!V44</f>
        <v>0</v>
      </c>
      <c r="X44" s="11">
        <f>'Cash Flows Cumulative'!X44-'Cash Flows Cumulative'!W44</f>
        <v>0</v>
      </c>
      <c r="Y44" s="11">
        <f>'Cash Flows Cumulative'!Y44-'Cash Flows Cumulative'!X44</f>
        <v>0</v>
      </c>
      <c r="Z44" s="61">
        <f t="shared" si="56"/>
        <v>0</v>
      </c>
      <c r="AA44" s="44">
        <f>'Cash Flows Cumulative'!AA44</f>
        <v>0</v>
      </c>
      <c r="AB44" s="11">
        <f>'Cash Flows Cumulative'!AB44-'Cash Flows Cumulative'!AA44</f>
        <v>0</v>
      </c>
      <c r="AC44" s="11">
        <f>'Cash Flows Cumulative'!AC44-'Cash Flows Cumulative'!AB44</f>
        <v>0</v>
      </c>
      <c r="AD44" s="11">
        <f>'Cash Flows Cumulative'!AD44-'Cash Flows Cumulative'!AC44</f>
        <v>0</v>
      </c>
      <c r="AE44" s="61">
        <f t="shared" si="57"/>
        <v>0</v>
      </c>
      <c r="AF44" s="44">
        <f>'Cash Flows Cumulative'!AF44</f>
        <v>0</v>
      </c>
      <c r="AG44" s="11">
        <f>'Cash Flows Cumulative'!AG44-'Cash Flows Cumulative'!AF44</f>
        <v>0</v>
      </c>
      <c r="AH44" s="11">
        <f>'Cash Flows Cumulative'!AH44-'Cash Flows Cumulative'!AG44</f>
        <v>0</v>
      </c>
      <c r="AI44" s="11">
        <f>'Cash Flows Cumulative'!AI44-'Cash Flows Cumulative'!AH44</f>
        <v>0</v>
      </c>
      <c r="AJ44" s="61">
        <f t="shared" si="58"/>
        <v>0</v>
      </c>
      <c r="AK44" s="44">
        <f>'Cash Flows Cumulative'!AK44</f>
        <v>0</v>
      </c>
      <c r="AL44" s="11">
        <f>'Cash Flows Cumulative'!AL44-'Cash Flows Cumulative'!AK44</f>
        <v>0</v>
      </c>
      <c r="AM44" s="11">
        <f>'Cash Flows Cumulative'!AM44-'Cash Flows Cumulative'!AL44</f>
        <v>0</v>
      </c>
      <c r="AN44" s="11">
        <f>'Cash Flows Cumulative'!AN44-'Cash Flows Cumulative'!AM44</f>
        <v>0</v>
      </c>
      <c r="AO44" s="61">
        <f t="shared" si="59"/>
        <v>0</v>
      </c>
      <c r="AP44" s="44">
        <f>'Cash Flows Cumulative'!AP44</f>
        <v>0</v>
      </c>
      <c r="AQ44" s="11">
        <f>'Cash Flows Cumulative'!AQ44-'Cash Flows Cumulative'!AP44</f>
        <v>0</v>
      </c>
      <c r="AR44" s="11">
        <f>'Cash Flows Cumulative'!AR44-'Cash Flows Cumulative'!AQ44</f>
        <v>0</v>
      </c>
      <c r="AS44" s="11">
        <f>'Cash Flows Cumulative'!AS44-'Cash Flows Cumulative'!AR44</f>
        <v>0</v>
      </c>
      <c r="AT44" s="61">
        <f t="shared" si="60"/>
        <v>0</v>
      </c>
      <c r="AU44" s="44">
        <f>'Cash Flows Cumulative'!AU44</f>
        <v>0</v>
      </c>
      <c r="AV44" s="11">
        <f>'Cash Flows Cumulative'!AV44-'Cash Flows Cumulative'!AU44</f>
        <v>0</v>
      </c>
      <c r="AW44" s="11">
        <f>'Cash Flows Cumulative'!AW44-'Cash Flows Cumulative'!AV44</f>
        <v>0</v>
      </c>
      <c r="AX44" s="11">
        <f>'Cash Flows Cumulative'!AX44-'Cash Flows Cumulative'!AW44</f>
        <v>0</v>
      </c>
      <c r="AY44" s="61">
        <f t="shared" si="61"/>
        <v>0</v>
      </c>
      <c r="AZ44" s="44">
        <f>'Cash Flows Cumulative'!AZ44</f>
        <v>0</v>
      </c>
      <c r="BA44" s="11">
        <f>'Cash Flows Cumulative'!BA44-'Cash Flows Cumulative'!AZ44</f>
        <v>0</v>
      </c>
      <c r="BB44" s="11">
        <f>'Cash Flows Cumulative'!BB44-'Cash Flows Cumulative'!BA44</f>
        <v>-3483</v>
      </c>
      <c r="BC44" s="11">
        <f>'Cash Flows Cumulative'!BC44-'Cash Flows Cumulative'!BB44</f>
        <v>-5463</v>
      </c>
      <c r="BD44" s="61">
        <f t="shared" si="62"/>
        <v>-8946</v>
      </c>
      <c r="BE44" s="44">
        <f>'Cash Flows Cumulative'!BE44</f>
        <v>-12539</v>
      </c>
      <c r="BF44" s="44">
        <f>'Cash Flows Cumulative'!BF44-'Cash Flows Cumulative'!BE44</f>
        <v>-11573</v>
      </c>
      <c r="BG44" s="44">
        <f>'Cash Flows Cumulative'!BG44-'Cash Flows Cumulative'!BF44</f>
        <v>-2799</v>
      </c>
      <c r="BH44" s="11">
        <f>'Cash Flows Cumulative'!BH44-'Cash Flows Cumulative'!BG44</f>
        <v>-13076</v>
      </c>
      <c r="BI44" s="61">
        <f t="shared" si="63"/>
        <v>-39987</v>
      </c>
      <c r="BJ44" s="44">
        <f>'Cash Flows Cumulative'!BJ44</f>
        <v>-20071</v>
      </c>
      <c r="BK44" s="44">
        <f>'Cash Flows Cumulative'!BK44-'Cash Flows Cumulative'!BJ44</f>
        <v>-30993</v>
      </c>
      <c r="BL44" s="44">
        <f>'Cash Flows Cumulative'!BL44-'Cash Flows Cumulative'!BK44</f>
        <v>-60862</v>
      </c>
      <c r="BM44" s="11">
        <f>'Cash Flows Cumulative'!BM44-'Cash Flows Cumulative'!BL44</f>
        <v>-64139</v>
      </c>
      <c r="BN44" s="61">
        <f t="shared" si="64"/>
        <v>-176065</v>
      </c>
      <c r="BO44" s="44">
        <f>'Cash Flows Cumulative'!BO44</f>
        <v>0</v>
      </c>
      <c r="BP44" s="44">
        <f>'Cash Flows Cumulative'!BP44-'Cash Flows Cumulative'!BO44</f>
        <v>-2284</v>
      </c>
      <c r="BQ44" s="44">
        <f>'Cash Flows Cumulative'!BQ44-'Cash Flows Cumulative'!BP44</f>
        <v>-23637</v>
      </c>
      <c r="BR44" s="11">
        <f>'Cash Flows Cumulative'!BR44-'Cash Flows Cumulative'!BQ44</f>
        <v>-14811</v>
      </c>
      <c r="BS44" s="61">
        <f t="shared" si="65"/>
        <v>-40732</v>
      </c>
      <c r="BT44" s="44">
        <f>'Cash Flows Cumulative'!BT44</f>
        <v>-12716</v>
      </c>
      <c r="BU44" s="44">
        <f>'Cash Flows Cumulative'!BU44-'Cash Flows Cumulative'!BT44</f>
        <v>-15514</v>
      </c>
      <c r="BV44" s="44">
        <f>'Cash Flows Cumulative'!BV44-'Cash Flows Cumulative'!BU44</f>
        <v>-9654</v>
      </c>
      <c r="BW44" s="44">
        <f>'Cash Flows Cumulative'!BW44-'Cash Flows Cumulative'!BV44</f>
        <v>0</v>
      </c>
      <c r="BX44" s="61">
        <f t="shared" si="66"/>
        <v>-37884</v>
      </c>
      <c r="BY44" s="44">
        <f>'Cash Flows Cumulative'!BY44</f>
        <v>-3048</v>
      </c>
      <c r="BZ44" s="44">
        <f>'Cash Flows Cumulative'!BZ44-'Cash Flows Cumulative'!BY44</f>
        <v>-38683</v>
      </c>
      <c r="CA44" s="44">
        <f>'Cash Flows Cumulative'!CA44-'Cash Flows Cumulative'!BZ44</f>
        <v>-36340</v>
      </c>
      <c r="CB44" s="44">
        <f>'Cash Flows Cumulative'!CB44-'Cash Flows Cumulative'!CA44</f>
        <v>-56818</v>
      </c>
      <c r="CC44" s="61">
        <f t="shared" si="67"/>
        <v>-134889</v>
      </c>
      <c r="CD44" s="44">
        <f>'Cash Flows Cumulative'!CD44</f>
        <v>-78757</v>
      </c>
      <c r="CE44" s="103">
        <f>'Cash Flows Cumulative'!CE44-'Cash Flows Cumulative'!CD44</f>
        <v>-232849</v>
      </c>
      <c r="CF44" s="103">
        <f>'Cash Flows Cumulative'!CF44-'Cash Flows Cumulative'!CE44</f>
        <v>-71279</v>
      </c>
      <c r="CG44" s="103">
        <f>'Cash Flows Cumulative'!CG44-'Cash Flows Cumulative'!CF44</f>
        <v>-116621</v>
      </c>
      <c r="CH44" s="61">
        <f t="shared" si="68"/>
        <v>-499506</v>
      </c>
      <c r="CI44" s="44">
        <f>'Cash Flows Cumulative'!CI44</f>
        <v>-113094</v>
      </c>
      <c r="CJ44" s="44">
        <f>'Cash Flows Cumulative'!CJ44-'Cash Flows Cumulative'!CI44</f>
        <v>63</v>
      </c>
      <c r="CK44" s="44">
        <f>'Cash Flows Cumulative'!CK44-'Cash Flows Cumulative'!CJ44</f>
        <v>-46497</v>
      </c>
      <c r="CL44" s="44">
        <f>'Cash Flows Cumulative'!CL44-'Cash Flows Cumulative'!CK44</f>
        <v>-63968</v>
      </c>
      <c r="CM44" s="61">
        <f t="shared" si="69"/>
        <v>-223496</v>
      </c>
      <c r="CN44" s="44">
        <f>'Cash Flows Cumulative'!CN44</f>
        <v>-89616</v>
      </c>
      <c r="CO44" s="44">
        <f>'Cash Flows Cumulative'!CO44-'Cash Flows Cumulative'!CN44</f>
        <v>-122404</v>
      </c>
      <c r="CP44" s="44"/>
      <c r="CQ44" s="44"/>
      <c r="CR44" s="61">
        <f t="shared" si="70"/>
        <v>-212020</v>
      </c>
    </row>
    <row r="45" spans="1:96" ht="11.15" customHeight="1" x14ac:dyDescent="0.2">
      <c r="A45" s="21" t="s">
        <v>225</v>
      </c>
      <c r="B45" s="44"/>
      <c r="C45" s="11"/>
      <c r="D45" s="11"/>
      <c r="E45" s="11"/>
      <c r="F45" s="61"/>
      <c r="G45" s="44"/>
      <c r="H45" s="11"/>
      <c r="I45" s="11"/>
      <c r="J45" s="11"/>
      <c r="K45" s="61"/>
      <c r="L45" s="44"/>
      <c r="M45" s="11"/>
      <c r="N45" s="11"/>
      <c r="O45" s="11"/>
      <c r="P45" s="61"/>
      <c r="Q45" s="44"/>
      <c r="R45" s="11"/>
      <c r="S45" s="11"/>
      <c r="T45" s="11"/>
      <c r="U45" s="61"/>
      <c r="V45" s="44"/>
      <c r="W45" s="11"/>
      <c r="X45" s="11"/>
      <c r="Y45" s="11"/>
      <c r="Z45" s="61"/>
      <c r="AA45" s="44"/>
      <c r="AB45" s="11"/>
      <c r="AC45" s="11"/>
      <c r="AD45" s="11"/>
      <c r="AE45" s="61"/>
      <c r="AF45" s="44"/>
      <c r="AG45" s="11"/>
      <c r="AH45" s="11"/>
      <c r="AI45" s="11"/>
      <c r="AJ45" s="61"/>
      <c r="AK45" s="44"/>
      <c r="AL45" s="11"/>
      <c r="AM45" s="11"/>
      <c r="AN45" s="11"/>
      <c r="AO45" s="61"/>
      <c r="AP45" s="44"/>
      <c r="AQ45" s="11"/>
      <c r="AR45" s="11"/>
      <c r="AS45" s="11"/>
      <c r="AT45" s="61"/>
      <c r="AU45" s="44"/>
      <c r="AV45" s="11"/>
      <c r="AW45" s="11"/>
      <c r="AX45" s="11"/>
      <c r="AY45" s="61"/>
      <c r="AZ45" s="44"/>
      <c r="BA45" s="11"/>
      <c r="BB45" s="11"/>
      <c r="BC45" s="11"/>
      <c r="BD45" s="61"/>
      <c r="BE45" s="44"/>
      <c r="BF45" s="44"/>
      <c r="BG45" s="44"/>
      <c r="BH45" s="11"/>
      <c r="BI45" s="61"/>
      <c r="BJ45" s="44"/>
      <c r="BK45" s="44"/>
      <c r="BL45" s="44"/>
      <c r="BM45" s="11"/>
      <c r="BN45" s="61"/>
      <c r="BO45" s="44"/>
      <c r="BP45" s="44"/>
      <c r="BQ45" s="44"/>
      <c r="BR45" s="11"/>
      <c r="BS45" s="61"/>
      <c r="BT45" s="44"/>
      <c r="BU45" s="44"/>
      <c r="BV45" s="44"/>
      <c r="BW45" s="44"/>
      <c r="BX45" s="61"/>
      <c r="BY45" s="44">
        <v>0</v>
      </c>
      <c r="BZ45" s="44">
        <v>0</v>
      </c>
      <c r="CA45" s="44">
        <v>0</v>
      </c>
      <c r="CB45" s="44">
        <v>0</v>
      </c>
      <c r="CC45" s="61">
        <f t="shared" si="67"/>
        <v>0</v>
      </c>
      <c r="CD45" s="44">
        <v>0</v>
      </c>
      <c r="CE45" s="103">
        <v>0</v>
      </c>
      <c r="CF45" s="103">
        <f>'Cash Flows Cumulative'!CF45-'Cash Flows Cumulative'!CE45</f>
        <v>-2500</v>
      </c>
      <c r="CG45" s="103">
        <f>'Cash Flows Cumulative'!CG45-'Cash Flows Cumulative'!CF45</f>
        <v>0</v>
      </c>
      <c r="CH45" s="61">
        <f t="shared" si="68"/>
        <v>-2500</v>
      </c>
      <c r="CI45" s="44">
        <v>0</v>
      </c>
      <c r="CJ45" s="44">
        <v>0</v>
      </c>
      <c r="CK45" s="44">
        <v>0</v>
      </c>
      <c r="CL45" s="44">
        <f>'Cash Flows Cumulative'!CL45-'Cash Flows Cumulative'!CK45</f>
        <v>0</v>
      </c>
      <c r="CM45" s="61">
        <f t="shared" si="69"/>
        <v>0</v>
      </c>
      <c r="CN45" s="44">
        <v>0</v>
      </c>
      <c r="CO45" s="44">
        <v>0</v>
      </c>
      <c r="CP45" s="44"/>
      <c r="CQ45" s="44"/>
      <c r="CR45" s="61">
        <f t="shared" si="70"/>
        <v>0</v>
      </c>
    </row>
    <row r="46" spans="1:96" ht="11.15" customHeight="1" x14ac:dyDescent="0.2">
      <c r="A46" s="21" t="s">
        <v>79</v>
      </c>
      <c r="B46" s="44">
        <f>'Cash Flows Cumulative'!B46</f>
        <v>0</v>
      </c>
      <c r="C46" s="11">
        <f>'Cash Flows Cumulative'!C46-'Cash Flows Cumulative'!B46</f>
        <v>0</v>
      </c>
      <c r="D46" s="11">
        <f>'Cash Flows Cumulative'!D46-'Cash Flows Cumulative'!C46</f>
        <v>0</v>
      </c>
      <c r="E46" s="11">
        <f>'Cash Flows Cumulative'!E46-'Cash Flows Cumulative'!D46</f>
        <v>93169</v>
      </c>
      <c r="F46" s="61">
        <f t="shared" si="52"/>
        <v>93169</v>
      </c>
      <c r="G46" s="44">
        <f>'Cash Flows Cumulative'!G46</f>
        <v>0</v>
      </c>
      <c r="H46" s="11">
        <f>'Cash Flows Cumulative'!H46-'Cash Flows Cumulative'!G46</f>
        <v>0</v>
      </c>
      <c r="I46" s="11">
        <f>'Cash Flows Cumulative'!I46-'Cash Flows Cumulative'!H46</f>
        <v>0</v>
      </c>
      <c r="J46" s="11">
        <f>'Cash Flows Cumulative'!J46-'Cash Flows Cumulative'!I46</f>
        <v>0</v>
      </c>
      <c r="K46" s="61">
        <f t="shared" si="53"/>
        <v>0</v>
      </c>
      <c r="L46" s="44">
        <f>'Cash Flows Cumulative'!L46</f>
        <v>0</v>
      </c>
      <c r="M46" s="11">
        <f>'Cash Flows Cumulative'!M46-'Cash Flows Cumulative'!L46</f>
        <v>0</v>
      </c>
      <c r="N46" s="11">
        <f>'Cash Flows Cumulative'!N46-'Cash Flows Cumulative'!M46</f>
        <v>0</v>
      </c>
      <c r="O46" s="11">
        <f>'Cash Flows Cumulative'!O46-'Cash Flows Cumulative'!N46</f>
        <v>0</v>
      </c>
      <c r="P46" s="61">
        <f t="shared" si="54"/>
        <v>0</v>
      </c>
      <c r="Q46" s="44">
        <f>'Cash Flows Cumulative'!Q46</f>
        <v>0</v>
      </c>
      <c r="R46" s="11">
        <f>'Cash Flows Cumulative'!R46-'Cash Flows Cumulative'!Q46</f>
        <v>0</v>
      </c>
      <c r="S46" s="11">
        <f>'Cash Flows Cumulative'!S46-'Cash Flows Cumulative'!R46</f>
        <v>0</v>
      </c>
      <c r="T46" s="11">
        <f>'Cash Flows Cumulative'!T46-'Cash Flows Cumulative'!S46</f>
        <v>0</v>
      </c>
      <c r="U46" s="61">
        <f t="shared" si="55"/>
        <v>0</v>
      </c>
      <c r="V46" s="44">
        <f>'Cash Flows Cumulative'!V46</f>
        <v>0</v>
      </c>
      <c r="W46" s="11">
        <f>'Cash Flows Cumulative'!W46-'Cash Flows Cumulative'!V46</f>
        <v>0</v>
      </c>
      <c r="X46" s="11">
        <f>'Cash Flows Cumulative'!X46-'Cash Flows Cumulative'!W46</f>
        <v>0</v>
      </c>
      <c r="Y46" s="11">
        <f>'Cash Flows Cumulative'!Y46-'Cash Flows Cumulative'!X46</f>
        <v>0</v>
      </c>
      <c r="Z46" s="61">
        <f t="shared" si="56"/>
        <v>0</v>
      </c>
      <c r="AA46" s="44">
        <f>'Cash Flows Cumulative'!AA46</f>
        <v>0</v>
      </c>
      <c r="AB46" s="11">
        <f>'Cash Flows Cumulative'!AB46-'Cash Flows Cumulative'!AA46</f>
        <v>0</v>
      </c>
      <c r="AC46" s="11">
        <f>'Cash Flows Cumulative'!AC46-'Cash Flows Cumulative'!AB46</f>
        <v>0</v>
      </c>
      <c r="AD46" s="11">
        <f>'Cash Flows Cumulative'!AD46-'Cash Flows Cumulative'!AC46</f>
        <v>0</v>
      </c>
      <c r="AE46" s="61">
        <f t="shared" si="57"/>
        <v>0</v>
      </c>
      <c r="AF46" s="44">
        <f>'Cash Flows Cumulative'!AF46</f>
        <v>168268</v>
      </c>
      <c r="AG46" s="11">
        <f>'Cash Flows Cumulative'!AG46-'Cash Flows Cumulative'!AF46</f>
        <v>-246</v>
      </c>
      <c r="AH46" s="11">
        <f>'Cash Flows Cumulative'!AH46-'Cash Flows Cumulative'!AG46</f>
        <v>-59</v>
      </c>
      <c r="AI46" s="11">
        <f>'Cash Flows Cumulative'!AI46-'Cash Flows Cumulative'!AH46</f>
        <v>-35</v>
      </c>
      <c r="AJ46" s="61">
        <f t="shared" si="58"/>
        <v>167928</v>
      </c>
      <c r="AK46" s="44">
        <f>'Cash Flows Cumulative'!AK46</f>
        <v>0</v>
      </c>
      <c r="AL46" s="11">
        <f>'Cash Flows Cumulative'!AL46-'Cash Flows Cumulative'!AK46</f>
        <v>0</v>
      </c>
      <c r="AM46" s="11">
        <f>'Cash Flows Cumulative'!AM46-'Cash Flows Cumulative'!AL46</f>
        <v>0</v>
      </c>
      <c r="AN46" s="11">
        <f>'Cash Flows Cumulative'!AN46-'Cash Flows Cumulative'!AM46</f>
        <v>0</v>
      </c>
      <c r="AO46" s="61">
        <f t="shared" si="59"/>
        <v>0</v>
      </c>
      <c r="AP46" s="44">
        <f>'Cash Flows Cumulative'!AP46</f>
        <v>0</v>
      </c>
      <c r="AQ46" s="11">
        <f>'Cash Flows Cumulative'!AQ46-'Cash Flows Cumulative'!AP46</f>
        <v>0</v>
      </c>
      <c r="AR46" s="11">
        <f>'Cash Flows Cumulative'!AR46-'Cash Flows Cumulative'!AQ46</f>
        <v>0</v>
      </c>
      <c r="AS46" s="11">
        <f>'Cash Flows Cumulative'!AS46-'Cash Flows Cumulative'!AR46</f>
        <v>0</v>
      </c>
      <c r="AT46" s="61">
        <f t="shared" si="60"/>
        <v>0</v>
      </c>
      <c r="AU46" s="44">
        <f>'Cash Flows Cumulative'!AU46</f>
        <v>0</v>
      </c>
      <c r="AV46" s="11">
        <f>'Cash Flows Cumulative'!AV46-'Cash Flows Cumulative'!AU46</f>
        <v>0</v>
      </c>
      <c r="AW46" s="11">
        <f>'Cash Flows Cumulative'!AW46-'Cash Flows Cumulative'!AV46</f>
        <v>0</v>
      </c>
      <c r="AX46" s="11">
        <f>'Cash Flows Cumulative'!AX46-'Cash Flows Cumulative'!AW46</f>
        <v>0</v>
      </c>
      <c r="AY46" s="61">
        <f t="shared" si="61"/>
        <v>0</v>
      </c>
      <c r="AZ46" s="44">
        <f>'Cash Flows Cumulative'!AZ46</f>
        <v>0</v>
      </c>
      <c r="BA46" s="11">
        <f>'Cash Flows Cumulative'!BA46-'Cash Flows Cumulative'!AZ46</f>
        <v>0</v>
      </c>
      <c r="BB46" s="11">
        <f>'Cash Flows Cumulative'!BB46-'Cash Flows Cumulative'!BA46</f>
        <v>0</v>
      </c>
      <c r="BC46" s="11">
        <f>'Cash Flows Cumulative'!BC46-'Cash Flows Cumulative'!BB46</f>
        <v>0</v>
      </c>
      <c r="BD46" s="61">
        <f t="shared" si="62"/>
        <v>0</v>
      </c>
      <c r="BE46" s="44">
        <f>'Cash Flows Cumulative'!BE46</f>
        <v>0</v>
      </c>
      <c r="BF46" s="44">
        <f>'Cash Flows Cumulative'!BF46-'Cash Flows Cumulative'!BE46</f>
        <v>0</v>
      </c>
      <c r="BG46" s="44">
        <f>'Cash Flows Cumulative'!BG46-'Cash Flows Cumulative'!BF46</f>
        <v>0</v>
      </c>
      <c r="BH46" s="11">
        <f>'Cash Flows Cumulative'!BH46-'Cash Flows Cumulative'!BG46</f>
        <v>0</v>
      </c>
      <c r="BI46" s="61">
        <f t="shared" si="63"/>
        <v>0</v>
      </c>
      <c r="BJ46" s="44">
        <f>'Cash Flows Cumulative'!BJ46</f>
        <v>0</v>
      </c>
      <c r="BK46" s="44">
        <f>'Cash Flows Cumulative'!BK46-'Cash Flows Cumulative'!BJ46</f>
        <v>0</v>
      </c>
      <c r="BL46" s="44">
        <f>'Cash Flows Cumulative'!BL46-'Cash Flows Cumulative'!BK46</f>
        <v>0</v>
      </c>
      <c r="BM46" s="11">
        <f>'Cash Flows Cumulative'!BM46-'Cash Flows Cumulative'!BL46</f>
        <v>0</v>
      </c>
      <c r="BN46" s="61">
        <f t="shared" si="64"/>
        <v>0</v>
      </c>
      <c r="BO46" s="44">
        <f>'Cash Flows Cumulative'!BO46</f>
        <v>0</v>
      </c>
      <c r="BP46" s="44">
        <f>'Cash Flows Cumulative'!BP46-'Cash Flows Cumulative'!BO46</f>
        <v>0</v>
      </c>
      <c r="BQ46" s="44">
        <f>'Cash Flows Cumulative'!BQ46-'Cash Flows Cumulative'!BP46</f>
        <v>0</v>
      </c>
      <c r="BR46" s="11">
        <f>'Cash Flows Cumulative'!BR46-'Cash Flows Cumulative'!BQ46</f>
        <v>0</v>
      </c>
      <c r="BS46" s="61">
        <f t="shared" si="65"/>
        <v>0</v>
      </c>
      <c r="BT46" s="44">
        <f>'Cash Flows Cumulative'!BT46</f>
        <v>0</v>
      </c>
      <c r="BU46" s="44">
        <f>'Cash Flows Cumulative'!BU46-'Cash Flows Cumulative'!BT46</f>
        <v>0</v>
      </c>
      <c r="BV46" s="44">
        <f>'Cash Flows Cumulative'!BV46-'Cash Flows Cumulative'!BU46</f>
        <v>0</v>
      </c>
      <c r="BW46" s="44">
        <f>'Cash Flows Cumulative'!BW46-'Cash Flows Cumulative'!BV46</f>
        <v>0</v>
      </c>
      <c r="BX46" s="61">
        <f t="shared" si="66"/>
        <v>0</v>
      </c>
      <c r="BY46" s="44">
        <f>'Cash Flows Cumulative'!BY46</f>
        <v>0</v>
      </c>
      <c r="BZ46" s="44">
        <f>'Cash Flows Cumulative'!BZ46-'Cash Flows Cumulative'!BY46</f>
        <v>0</v>
      </c>
      <c r="CA46" s="44">
        <f>'Cash Flows Cumulative'!CA46-'Cash Flows Cumulative'!BZ46</f>
        <v>0</v>
      </c>
      <c r="CB46" s="44">
        <f>'Cash Flows Cumulative'!CB46-'Cash Flows Cumulative'!CA46</f>
        <v>0</v>
      </c>
      <c r="CC46" s="61">
        <f t="shared" si="67"/>
        <v>0</v>
      </c>
      <c r="CD46" s="44">
        <f>'Cash Flows Cumulative'!CD46</f>
        <v>0</v>
      </c>
      <c r="CE46" s="103">
        <f>'Cash Flows Cumulative'!CE46-'Cash Flows Cumulative'!CD46</f>
        <v>0</v>
      </c>
      <c r="CF46" s="103">
        <f>'Cash Flows Cumulative'!CF46-'Cash Flows Cumulative'!CE46</f>
        <v>0</v>
      </c>
      <c r="CG46" s="103">
        <f>'Cash Flows Cumulative'!CG46-'Cash Flows Cumulative'!CF46</f>
        <v>0</v>
      </c>
      <c r="CH46" s="61">
        <f t="shared" si="68"/>
        <v>0</v>
      </c>
      <c r="CI46" s="44">
        <f>'Cash Flows Cumulative'!CI46</f>
        <v>0</v>
      </c>
      <c r="CJ46" s="44">
        <f>'Cash Flows Cumulative'!CJ46-'Cash Flows Cumulative'!CI46</f>
        <v>0</v>
      </c>
      <c r="CK46" s="44">
        <f>'Cash Flows Cumulative'!CK46-'Cash Flows Cumulative'!CJ46</f>
        <v>0</v>
      </c>
      <c r="CL46" s="44">
        <f>'Cash Flows Cumulative'!CL46-'Cash Flows Cumulative'!CK46</f>
        <v>0</v>
      </c>
      <c r="CM46" s="61">
        <f t="shared" si="69"/>
        <v>0</v>
      </c>
      <c r="CN46" s="44">
        <f>'Cash Flows Cumulative'!CN46</f>
        <v>0</v>
      </c>
      <c r="CO46" s="44">
        <f>'Cash Flows Cumulative'!CO46-'Cash Flows Cumulative'!CN46</f>
        <v>0</v>
      </c>
      <c r="CP46" s="44"/>
      <c r="CQ46" s="44"/>
      <c r="CR46" s="61">
        <f t="shared" si="70"/>
        <v>0</v>
      </c>
    </row>
    <row r="47" spans="1:96" ht="11.15" customHeight="1" x14ac:dyDescent="0.2">
      <c r="A47" s="21" t="s">
        <v>80</v>
      </c>
      <c r="B47" s="44">
        <f>'Cash Flows Cumulative'!B47</f>
        <v>0</v>
      </c>
      <c r="C47" s="11">
        <f>'Cash Flows Cumulative'!C47-'Cash Flows Cumulative'!B47</f>
        <v>0</v>
      </c>
      <c r="D47" s="11">
        <f>'Cash Flows Cumulative'!D47-'Cash Flows Cumulative'!C47</f>
        <v>0</v>
      </c>
      <c r="E47" s="11">
        <f>'Cash Flows Cumulative'!E47-'Cash Flows Cumulative'!D47</f>
        <v>0</v>
      </c>
      <c r="F47" s="61">
        <f t="shared" si="52"/>
        <v>0</v>
      </c>
      <c r="G47" s="44">
        <f>'Cash Flows Cumulative'!G47</f>
        <v>0</v>
      </c>
      <c r="H47" s="11">
        <f>'Cash Flows Cumulative'!H47-'Cash Flows Cumulative'!G47</f>
        <v>0</v>
      </c>
      <c r="I47" s="11">
        <f>'Cash Flows Cumulative'!I47-'Cash Flows Cumulative'!H47</f>
        <v>0</v>
      </c>
      <c r="J47" s="11">
        <f>'Cash Flows Cumulative'!J47-'Cash Flows Cumulative'!I47</f>
        <v>0</v>
      </c>
      <c r="K47" s="61">
        <f t="shared" si="53"/>
        <v>0</v>
      </c>
      <c r="L47" s="44">
        <f>'Cash Flows Cumulative'!L47</f>
        <v>0</v>
      </c>
      <c r="M47" s="11">
        <f>'Cash Flows Cumulative'!M47-'Cash Flows Cumulative'!L47</f>
        <v>0</v>
      </c>
      <c r="N47" s="11">
        <f>'Cash Flows Cumulative'!N47-'Cash Flows Cumulative'!M47</f>
        <v>0</v>
      </c>
      <c r="O47" s="11">
        <f>'Cash Flows Cumulative'!O47-'Cash Flows Cumulative'!N47</f>
        <v>0</v>
      </c>
      <c r="P47" s="61">
        <f t="shared" si="54"/>
        <v>0</v>
      </c>
      <c r="Q47" s="44">
        <f>'Cash Flows Cumulative'!Q47</f>
        <v>0</v>
      </c>
      <c r="R47" s="11">
        <f>'Cash Flows Cumulative'!R47-'Cash Flows Cumulative'!Q47</f>
        <v>0</v>
      </c>
      <c r="S47" s="11">
        <f>'Cash Flows Cumulative'!S47-'Cash Flows Cumulative'!R47</f>
        <v>0</v>
      </c>
      <c r="T47" s="11">
        <f>'Cash Flows Cumulative'!T47-'Cash Flows Cumulative'!S47</f>
        <v>0</v>
      </c>
      <c r="U47" s="61">
        <f t="shared" si="55"/>
        <v>0</v>
      </c>
      <c r="V47" s="44">
        <f>'Cash Flows Cumulative'!V47</f>
        <v>0</v>
      </c>
      <c r="W47" s="11">
        <f>'Cash Flows Cumulative'!W47-'Cash Flows Cumulative'!V47</f>
        <v>0</v>
      </c>
      <c r="X47" s="11">
        <f>'Cash Flows Cumulative'!X47-'Cash Flows Cumulative'!W47</f>
        <v>0</v>
      </c>
      <c r="Y47" s="11">
        <f>'Cash Flows Cumulative'!Y47-'Cash Flows Cumulative'!X47</f>
        <v>0</v>
      </c>
      <c r="Z47" s="61">
        <f t="shared" si="56"/>
        <v>0</v>
      </c>
      <c r="AA47" s="44">
        <f>'Cash Flows Cumulative'!AA47</f>
        <v>0</v>
      </c>
      <c r="AB47" s="11">
        <f>'Cash Flows Cumulative'!AB47-'Cash Flows Cumulative'!AA47</f>
        <v>0</v>
      </c>
      <c r="AC47" s="11">
        <f>'Cash Flows Cumulative'!AC47-'Cash Flows Cumulative'!AB47</f>
        <v>0</v>
      </c>
      <c r="AD47" s="11">
        <f>'Cash Flows Cumulative'!AD47-'Cash Flows Cumulative'!AC47</f>
        <v>0</v>
      </c>
      <c r="AE47" s="61">
        <f t="shared" si="57"/>
        <v>0</v>
      </c>
      <c r="AF47" s="44">
        <f>'Cash Flows Cumulative'!AF47</f>
        <v>0</v>
      </c>
      <c r="AG47" s="11">
        <f>'Cash Flows Cumulative'!AG47-'Cash Flows Cumulative'!AF47</f>
        <v>0</v>
      </c>
      <c r="AH47" s="11">
        <f>'Cash Flows Cumulative'!AH47-'Cash Flows Cumulative'!AG47</f>
        <v>0</v>
      </c>
      <c r="AI47" s="11">
        <f>'Cash Flows Cumulative'!AI47-'Cash Flows Cumulative'!AH47</f>
        <v>-33353</v>
      </c>
      <c r="AJ47" s="61">
        <f t="shared" si="58"/>
        <v>-33353</v>
      </c>
      <c r="AK47" s="44">
        <f>'Cash Flows Cumulative'!AK47</f>
        <v>0</v>
      </c>
      <c r="AL47" s="11">
        <f>'Cash Flows Cumulative'!AL47-'Cash Flows Cumulative'!AK47</f>
        <v>0</v>
      </c>
      <c r="AM47" s="11">
        <f>'Cash Flows Cumulative'!AM47-'Cash Flows Cumulative'!AL47</f>
        <v>0</v>
      </c>
      <c r="AN47" s="11">
        <f>'Cash Flows Cumulative'!AN47-'Cash Flows Cumulative'!AM47</f>
        <v>0</v>
      </c>
      <c r="AO47" s="61">
        <f t="shared" si="59"/>
        <v>0</v>
      </c>
      <c r="AP47" s="44">
        <f>'Cash Flows Cumulative'!AP47</f>
        <v>0</v>
      </c>
      <c r="AQ47" s="11">
        <f>'Cash Flows Cumulative'!AQ47-'Cash Flows Cumulative'!AP47</f>
        <v>0</v>
      </c>
      <c r="AR47" s="11">
        <f>'Cash Flows Cumulative'!AR47-'Cash Flows Cumulative'!AQ47</f>
        <v>0</v>
      </c>
      <c r="AS47" s="11">
        <f>'Cash Flows Cumulative'!AS47-'Cash Flows Cumulative'!AR47</f>
        <v>0</v>
      </c>
      <c r="AT47" s="61">
        <f t="shared" si="60"/>
        <v>0</v>
      </c>
      <c r="AU47" s="44">
        <f>'Cash Flows Cumulative'!AU47</f>
        <v>0</v>
      </c>
      <c r="AV47" s="11">
        <f>'Cash Flows Cumulative'!AV47-'Cash Flows Cumulative'!AU47</f>
        <v>0</v>
      </c>
      <c r="AW47" s="11">
        <f>'Cash Flows Cumulative'!AW47-'Cash Flows Cumulative'!AV47</f>
        <v>0</v>
      </c>
      <c r="AX47" s="11">
        <f>'Cash Flows Cumulative'!AX47-'Cash Flows Cumulative'!AW47</f>
        <v>0</v>
      </c>
      <c r="AY47" s="61">
        <f t="shared" si="61"/>
        <v>0</v>
      </c>
      <c r="AZ47" s="44">
        <f>'Cash Flows Cumulative'!AZ47</f>
        <v>0</v>
      </c>
      <c r="BA47" s="11">
        <f>'Cash Flows Cumulative'!BA47-'Cash Flows Cumulative'!AZ47</f>
        <v>0</v>
      </c>
      <c r="BB47" s="11">
        <f>'Cash Flows Cumulative'!BB47-'Cash Flows Cumulative'!BA47</f>
        <v>0</v>
      </c>
      <c r="BC47" s="11">
        <f>'Cash Flows Cumulative'!BC47-'Cash Flows Cumulative'!BB47</f>
        <v>0</v>
      </c>
      <c r="BD47" s="61">
        <f t="shared" si="62"/>
        <v>0</v>
      </c>
      <c r="BE47" s="44">
        <f>'Cash Flows Cumulative'!BE47</f>
        <v>0</v>
      </c>
      <c r="BF47" s="44">
        <f>'Cash Flows Cumulative'!BF47-'Cash Flows Cumulative'!BE47</f>
        <v>0</v>
      </c>
      <c r="BG47" s="44">
        <f>'Cash Flows Cumulative'!BG47-'Cash Flows Cumulative'!BF47</f>
        <v>0</v>
      </c>
      <c r="BH47" s="11">
        <f>'Cash Flows Cumulative'!BH47-'Cash Flows Cumulative'!BG47</f>
        <v>0</v>
      </c>
      <c r="BI47" s="61">
        <f t="shared" si="63"/>
        <v>0</v>
      </c>
      <c r="BJ47" s="44">
        <f>'Cash Flows Cumulative'!BJ47</f>
        <v>0</v>
      </c>
      <c r="BK47" s="44">
        <f>'Cash Flows Cumulative'!BK47-'Cash Flows Cumulative'!BJ47</f>
        <v>0</v>
      </c>
      <c r="BL47" s="44">
        <f>'Cash Flows Cumulative'!BL47-'Cash Flows Cumulative'!BK47</f>
        <v>0</v>
      </c>
      <c r="BM47" s="11">
        <f>'Cash Flows Cumulative'!BM47-'Cash Flows Cumulative'!BL47</f>
        <v>0</v>
      </c>
      <c r="BN47" s="61">
        <f t="shared" si="64"/>
        <v>0</v>
      </c>
      <c r="BO47" s="44">
        <f>'Cash Flows Cumulative'!BO47</f>
        <v>0</v>
      </c>
      <c r="BP47" s="44">
        <f>'Cash Flows Cumulative'!BP47-'Cash Flows Cumulative'!BO47</f>
        <v>0</v>
      </c>
      <c r="BQ47" s="44">
        <f>'Cash Flows Cumulative'!BQ47-'Cash Flows Cumulative'!BP47</f>
        <v>0</v>
      </c>
      <c r="BR47" s="11">
        <f>'Cash Flows Cumulative'!BR47-'Cash Flows Cumulative'!BQ47</f>
        <v>0</v>
      </c>
      <c r="BS47" s="61">
        <f t="shared" si="65"/>
        <v>0</v>
      </c>
      <c r="BT47" s="44">
        <f>'Cash Flows Cumulative'!BT47</f>
        <v>0</v>
      </c>
      <c r="BU47" s="44">
        <f>'Cash Flows Cumulative'!BU47-'Cash Flows Cumulative'!BT47</f>
        <v>0</v>
      </c>
      <c r="BV47" s="44">
        <f>'Cash Flows Cumulative'!BV47-'Cash Flows Cumulative'!BU47</f>
        <v>0</v>
      </c>
      <c r="BW47" s="44">
        <f>'Cash Flows Cumulative'!BW47-'Cash Flows Cumulative'!BV47</f>
        <v>0</v>
      </c>
      <c r="BX47" s="61">
        <f t="shared" si="66"/>
        <v>0</v>
      </c>
      <c r="BY47" s="44">
        <f>'Cash Flows Cumulative'!BY47</f>
        <v>0</v>
      </c>
      <c r="BZ47" s="44">
        <f>'Cash Flows Cumulative'!BZ47-'Cash Flows Cumulative'!BY47</f>
        <v>0</v>
      </c>
      <c r="CA47" s="44">
        <f>'Cash Flows Cumulative'!CA47-'Cash Flows Cumulative'!BZ47</f>
        <v>0</v>
      </c>
      <c r="CB47" s="44">
        <f>'Cash Flows Cumulative'!CB47-'Cash Flows Cumulative'!CA47</f>
        <v>0</v>
      </c>
      <c r="CC47" s="61">
        <f t="shared" si="67"/>
        <v>0</v>
      </c>
      <c r="CD47" s="44">
        <f>'Cash Flows Cumulative'!CD47</f>
        <v>0</v>
      </c>
      <c r="CE47" s="103">
        <f>'Cash Flows Cumulative'!CE47-'Cash Flows Cumulative'!CD47</f>
        <v>0</v>
      </c>
      <c r="CF47" s="103">
        <f>'Cash Flows Cumulative'!CF47-'Cash Flows Cumulative'!CE47</f>
        <v>0</v>
      </c>
      <c r="CG47" s="103">
        <f>'Cash Flows Cumulative'!CG47-'Cash Flows Cumulative'!CF47</f>
        <v>0</v>
      </c>
      <c r="CH47" s="61">
        <f t="shared" si="68"/>
        <v>0</v>
      </c>
      <c r="CI47" s="44">
        <f>'Cash Flows Cumulative'!CI47</f>
        <v>0</v>
      </c>
      <c r="CJ47" s="44">
        <f>'Cash Flows Cumulative'!CJ47-'Cash Flows Cumulative'!CI47</f>
        <v>0</v>
      </c>
      <c r="CK47" s="44">
        <f>'Cash Flows Cumulative'!CK47-'Cash Flows Cumulative'!CJ47</f>
        <v>0</v>
      </c>
      <c r="CL47" s="44">
        <f>'Cash Flows Cumulative'!CL47-'Cash Flows Cumulative'!CK47</f>
        <v>0</v>
      </c>
      <c r="CM47" s="61">
        <f t="shared" si="69"/>
        <v>0</v>
      </c>
      <c r="CN47" s="44">
        <f>'Cash Flows Cumulative'!CN47</f>
        <v>0</v>
      </c>
      <c r="CO47" s="44">
        <f>'Cash Flows Cumulative'!CO47-'Cash Flows Cumulative'!CN47</f>
        <v>0</v>
      </c>
      <c r="CP47" s="44"/>
      <c r="CQ47" s="44"/>
      <c r="CR47" s="61">
        <f t="shared" si="70"/>
        <v>0</v>
      </c>
    </row>
    <row r="48" spans="1:96" ht="11.15" customHeight="1" x14ac:dyDescent="0.2">
      <c r="A48" s="21" t="s">
        <v>21</v>
      </c>
      <c r="B48" s="44">
        <f>'Cash Flows Cumulative'!B48</f>
        <v>0</v>
      </c>
      <c r="C48" s="11">
        <f>'Cash Flows Cumulative'!C48-'Cash Flows Cumulative'!B48</f>
        <v>0</v>
      </c>
      <c r="D48" s="11">
        <f>'Cash Flows Cumulative'!D48-'Cash Flows Cumulative'!C48</f>
        <v>-150</v>
      </c>
      <c r="E48" s="11">
        <f>'Cash Flows Cumulative'!E48-'Cash Flows Cumulative'!D48</f>
        <v>-21497</v>
      </c>
      <c r="F48" s="61">
        <f t="shared" si="52"/>
        <v>-21647</v>
      </c>
      <c r="G48" s="44">
        <f>'Cash Flows Cumulative'!G48</f>
        <v>0</v>
      </c>
      <c r="H48" s="11">
        <f>'Cash Flows Cumulative'!H48-'Cash Flows Cumulative'!G48</f>
        <v>0</v>
      </c>
      <c r="I48" s="11">
        <f>'Cash Flows Cumulative'!I48-'Cash Flows Cumulative'!H48</f>
        <v>23</v>
      </c>
      <c r="J48" s="11">
        <f>'Cash Flows Cumulative'!J48-'Cash Flows Cumulative'!I48</f>
        <v>34</v>
      </c>
      <c r="K48" s="61">
        <f t="shared" si="53"/>
        <v>57</v>
      </c>
      <c r="L48" s="44">
        <f>'Cash Flows Cumulative'!L48</f>
        <v>0</v>
      </c>
      <c r="M48" s="11">
        <f>'Cash Flows Cumulative'!M48-'Cash Flows Cumulative'!L48</f>
        <v>0</v>
      </c>
      <c r="N48" s="11">
        <f>'Cash Flows Cumulative'!N48-'Cash Flows Cumulative'!M48</f>
        <v>-75</v>
      </c>
      <c r="O48" s="11">
        <f>'Cash Flows Cumulative'!O48-'Cash Flows Cumulative'!N48</f>
        <v>-137</v>
      </c>
      <c r="P48" s="61">
        <f t="shared" si="54"/>
        <v>-212</v>
      </c>
      <c r="Q48" s="44">
        <f>'Cash Flows Cumulative'!Q48</f>
        <v>0</v>
      </c>
      <c r="R48" s="11">
        <f>'Cash Flows Cumulative'!R48-'Cash Flows Cumulative'!Q48</f>
        <v>0</v>
      </c>
      <c r="S48" s="11">
        <f>'Cash Flows Cumulative'!S48-'Cash Flows Cumulative'!R48</f>
        <v>-61</v>
      </c>
      <c r="T48" s="11">
        <f>'Cash Flows Cumulative'!T48-'Cash Flows Cumulative'!S48</f>
        <v>11</v>
      </c>
      <c r="U48" s="61">
        <f t="shared" si="55"/>
        <v>-50</v>
      </c>
      <c r="V48" s="44">
        <f>'Cash Flows Cumulative'!V48</f>
        <v>0</v>
      </c>
      <c r="W48" s="11">
        <f>'Cash Flows Cumulative'!W48-'Cash Flows Cumulative'!V48</f>
        <v>0</v>
      </c>
      <c r="X48" s="11">
        <f>'Cash Flows Cumulative'!X48-'Cash Flows Cumulative'!W48</f>
        <v>-100</v>
      </c>
      <c r="Y48" s="11">
        <f>'Cash Flows Cumulative'!Y48-'Cash Flows Cumulative'!X48</f>
        <v>0</v>
      </c>
      <c r="Z48" s="61">
        <f t="shared" si="56"/>
        <v>-100</v>
      </c>
      <c r="AA48" s="44">
        <f>'Cash Flows Cumulative'!AA48</f>
        <v>0</v>
      </c>
      <c r="AB48" s="11">
        <f>'Cash Flows Cumulative'!AB48-'Cash Flows Cumulative'!AA48</f>
        <v>0</v>
      </c>
      <c r="AC48" s="11">
        <f>'Cash Flows Cumulative'!AC48-'Cash Flows Cumulative'!AB48</f>
        <v>0</v>
      </c>
      <c r="AD48" s="11">
        <f>'Cash Flows Cumulative'!AD48-'Cash Flows Cumulative'!AC48</f>
        <v>1</v>
      </c>
      <c r="AE48" s="61">
        <f t="shared" si="57"/>
        <v>1</v>
      </c>
      <c r="AF48" s="44">
        <f>'Cash Flows Cumulative'!AF48</f>
        <v>0</v>
      </c>
      <c r="AG48" s="11">
        <f>'Cash Flows Cumulative'!AG48-'Cash Flows Cumulative'!AF48</f>
        <v>0</v>
      </c>
      <c r="AH48" s="11">
        <f>'Cash Flows Cumulative'!AH48-'Cash Flows Cumulative'!AG48</f>
        <v>0</v>
      </c>
      <c r="AI48" s="11">
        <f>'Cash Flows Cumulative'!AI48-'Cash Flows Cumulative'!AH48</f>
        <v>0</v>
      </c>
      <c r="AJ48" s="61">
        <f t="shared" si="58"/>
        <v>0</v>
      </c>
      <c r="AK48" s="44">
        <f>'Cash Flows Cumulative'!AK48</f>
        <v>0</v>
      </c>
      <c r="AL48" s="11">
        <f>'Cash Flows Cumulative'!AL48-'Cash Flows Cumulative'!AK48</f>
        <v>0</v>
      </c>
      <c r="AM48" s="11">
        <f>'Cash Flows Cumulative'!AM48-'Cash Flows Cumulative'!AL48</f>
        <v>0</v>
      </c>
      <c r="AN48" s="11">
        <f>'Cash Flows Cumulative'!AN48-'Cash Flows Cumulative'!AM48</f>
        <v>0</v>
      </c>
      <c r="AO48" s="61">
        <f t="shared" si="59"/>
        <v>0</v>
      </c>
      <c r="AP48" s="44">
        <f>'Cash Flows Cumulative'!AP48</f>
        <v>0</v>
      </c>
      <c r="AQ48" s="11">
        <f>'Cash Flows Cumulative'!AQ48-'Cash Flows Cumulative'!AP48</f>
        <v>0</v>
      </c>
      <c r="AR48" s="11">
        <f>'Cash Flows Cumulative'!AR48-'Cash Flows Cumulative'!AQ48</f>
        <v>0</v>
      </c>
      <c r="AS48" s="11">
        <f>'Cash Flows Cumulative'!AS48-'Cash Flows Cumulative'!AR48</f>
        <v>0</v>
      </c>
      <c r="AT48" s="61">
        <f t="shared" si="60"/>
        <v>0</v>
      </c>
      <c r="AU48" s="44">
        <f>'Cash Flows Cumulative'!AU48</f>
        <v>0</v>
      </c>
      <c r="AV48" s="11">
        <f>'Cash Flows Cumulative'!AV48-'Cash Flows Cumulative'!AU48</f>
        <v>0</v>
      </c>
      <c r="AW48" s="11">
        <f>'Cash Flows Cumulative'!AW48-'Cash Flows Cumulative'!AV48</f>
        <v>0</v>
      </c>
      <c r="AX48" s="11">
        <f>'Cash Flows Cumulative'!AX48-'Cash Flows Cumulative'!AW48</f>
        <v>0</v>
      </c>
      <c r="AY48" s="61">
        <f t="shared" si="61"/>
        <v>0</v>
      </c>
      <c r="AZ48" s="44">
        <f>'Cash Flows Cumulative'!AZ48</f>
        <v>0</v>
      </c>
      <c r="BA48" s="11">
        <f>'Cash Flows Cumulative'!BA48-'Cash Flows Cumulative'!AZ48</f>
        <v>0</v>
      </c>
      <c r="BB48" s="11">
        <f>'Cash Flows Cumulative'!BB48-'Cash Flows Cumulative'!BA48</f>
        <v>0</v>
      </c>
      <c r="BC48" s="11">
        <f>'Cash Flows Cumulative'!BC48-'Cash Flows Cumulative'!BB48</f>
        <v>0</v>
      </c>
      <c r="BD48" s="61">
        <f t="shared" si="62"/>
        <v>0</v>
      </c>
      <c r="BE48" s="44">
        <f>'Cash Flows Cumulative'!BE48</f>
        <v>0</v>
      </c>
      <c r="BF48" s="44">
        <f>'Cash Flows Cumulative'!BF48-'Cash Flows Cumulative'!BE48</f>
        <v>0</v>
      </c>
      <c r="BG48" s="44">
        <f>'Cash Flows Cumulative'!BG48-'Cash Flows Cumulative'!BF48</f>
        <v>0</v>
      </c>
      <c r="BH48" s="11">
        <f>'Cash Flows Cumulative'!BH48-'Cash Flows Cumulative'!BG48</f>
        <v>0</v>
      </c>
      <c r="BI48" s="61">
        <f t="shared" si="63"/>
        <v>0</v>
      </c>
      <c r="BJ48" s="44">
        <f>'Cash Flows Cumulative'!BJ48</f>
        <v>0</v>
      </c>
      <c r="BK48" s="44">
        <f>'Cash Flows Cumulative'!BK48-'Cash Flows Cumulative'!BJ48</f>
        <v>0</v>
      </c>
      <c r="BL48" s="44">
        <f>'Cash Flows Cumulative'!BL48-'Cash Flows Cumulative'!BK48</f>
        <v>0</v>
      </c>
      <c r="BM48" s="11">
        <f>'Cash Flows Cumulative'!BM48-'Cash Flows Cumulative'!BL48</f>
        <v>0</v>
      </c>
      <c r="BN48" s="61">
        <f t="shared" si="64"/>
        <v>0</v>
      </c>
      <c r="BO48" s="44">
        <f>'Cash Flows Cumulative'!BO48</f>
        <v>0</v>
      </c>
      <c r="BP48" s="44">
        <f>'Cash Flows Cumulative'!BP48-'Cash Flows Cumulative'!BO48</f>
        <v>0</v>
      </c>
      <c r="BQ48" s="44">
        <f>'Cash Flows Cumulative'!BQ48-'Cash Flows Cumulative'!BP48</f>
        <v>0</v>
      </c>
      <c r="BR48" s="11">
        <f>'Cash Flows Cumulative'!BR48-'Cash Flows Cumulative'!BQ48</f>
        <v>0</v>
      </c>
      <c r="BS48" s="61">
        <f t="shared" si="65"/>
        <v>0</v>
      </c>
      <c r="BT48" s="44">
        <f>'Cash Flows Cumulative'!BT48</f>
        <v>-1650</v>
      </c>
      <c r="BU48" s="44">
        <f>'Cash Flows Cumulative'!BU48-'Cash Flows Cumulative'!BT48</f>
        <v>0</v>
      </c>
      <c r="BV48" s="44">
        <f>'Cash Flows Cumulative'!BV48-'Cash Flows Cumulative'!BU48</f>
        <v>0</v>
      </c>
      <c r="BW48" s="44">
        <f>'Cash Flows Cumulative'!BW48-'Cash Flows Cumulative'!BV48</f>
        <v>0</v>
      </c>
      <c r="BX48" s="61">
        <f t="shared" si="66"/>
        <v>-1650</v>
      </c>
      <c r="BY48" s="44">
        <f>'Cash Flows Cumulative'!BY48</f>
        <v>-2624</v>
      </c>
      <c r="BZ48" s="44">
        <f>'Cash Flows Cumulative'!BZ48-'Cash Flows Cumulative'!BY48</f>
        <v>0</v>
      </c>
      <c r="CA48" s="44">
        <f>'Cash Flows Cumulative'!CA48-'Cash Flows Cumulative'!BZ48</f>
        <v>0</v>
      </c>
      <c r="CB48" s="44">
        <f>'Cash Flows Cumulative'!CB48-'Cash Flows Cumulative'!CA48</f>
        <v>-1</v>
      </c>
      <c r="CC48" s="61">
        <f t="shared" si="67"/>
        <v>-2625</v>
      </c>
      <c r="CD48" s="44">
        <f>'Cash Flows Cumulative'!CD48</f>
        <v>0</v>
      </c>
      <c r="CE48" s="103">
        <f>'Cash Flows Cumulative'!CE48-'Cash Flows Cumulative'!CD48</f>
        <v>0</v>
      </c>
      <c r="CF48" s="103">
        <f>'Cash Flows Cumulative'!CF48-'Cash Flows Cumulative'!CE48</f>
        <v>0</v>
      </c>
      <c r="CG48" s="103">
        <f>'Cash Flows Cumulative'!CG48-'Cash Flows Cumulative'!CF48</f>
        <v>0</v>
      </c>
      <c r="CH48" s="61">
        <f t="shared" si="68"/>
        <v>0</v>
      </c>
      <c r="CI48" s="44">
        <f>'Cash Flows Cumulative'!CI48</f>
        <v>0</v>
      </c>
      <c r="CJ48" s="44">
        <f>'Cash Flows Cumulative'!CJ48-'Cash Flows Cumulative'!CI48</f>
        <v>0</v>
      </c>
      <c r="CK48" s="44">
        <f>'Cash Flows Cumulative'!CK48-'Cash Flows Cumulative'!CJ48</f>
        <v>0</v>
      </c>
      <c r="CL48" s="44">
        <f>'Cash Flows Cumulative'!CL48-'Cash Flows Cumulative'!CK48</f>
        <v>0</v>
      </c>
      <c r="CM48" s="61">
        <f t="shared" si="69"/>
        <v>0</v>
      </c>
      <c r="CN48" s="44">
        <f>'Cash Flows Cumulative'!CN48</f>
        <v>0</v>
      </c>
      <c r="CO48" s="44">
        <f>'Cash Flows Cumulative'!CO48-'Cash Flows Cumulative'!CN48</f>
        <v>0</v>
      </c>
      <c r="CP48" s="44"/>
      <c r="CQ48" s="44"/>
      <c r="CR48" s="61">
        <f t="shared" si="70"/>
        <v>0</v>
      </c>
    </row>
    <row r="49" spans="1:96" s="2" customFormat="1" ht="11.15" customHeight="1" x14ac:dyDescent="0.25">
      <c r="A49" s="27" t="s">
        <v>35</v>
      </c>
      <c r="B49" s="12">
        <f>SUM(B38:B48)</f>
        <v>-1595</v>
      </c>
      <c r="C49" s="12">
        <f>SUM(C38:C48)</f>
        <v>2004</v>
      </c>
      <c r="D49" s="12">
        <f>SUM(D38:D48)</f>
        <v>5301</v>
      </c>
      <c r="E49" s="12">
        <f>SUM(E38:E48)</f>
        <v>61199</v>
      </c>
      <c r="F49" s="60">
        <f t="shared" si="52"/>
        <v>66909</v>
      </c>
      <c r="G49" s="12">
        <f>SUM(G38:G48)</f>
        <v>-19871</v>
      </c>
      <c r="H49" s="12">
        <f>SUM(H38:H48)</f>
        <v>10725</v>
      </c>
      <c r="I49" s="12">
        <f>SUM(I38:I48)</f>
        <v>5428</v>
      </c>
      <c r="J49" s="12">
        <f>SUM(J38:J48)</f>
        <v>-3665</v>
      </c>
      <c r="K49" s="60">
        <f t="shared" si="53"/>
        <v>-7383</v>
      </c>
      <c r="L49" s="12">
        <f>SUM(L38:L48)</f>
        <v>3651</v>
      </c>
      <c r="M49" s="12">
        <f>SUM(M38:M48)</f>
        <v>6344</v>
      </c>
      <c r="N49" s="12">
        <f>SUM(N38:N48)</f>
        <v>-4375</v>
      </c>
      <c r="O49" s="12">
        <f>SUM(O38:O48)</f>
        <v>4832</v>
      </c>
      <c r="P49" s="60">
        <f t="shared" si="54"/>
        <v>10452</v>
      </c>
      <c r="Q49" s="12">
        <f>SUM(Q38:Q48)</f>
        <v>9568</v>
      </c>
      <c r="R49" s="12">
        <f>SUM(R38:R48)</f>
        <v>1510</v>
      </c>
      <c r="S49" s="12">
        <f>SUM(S38:S48)</f>
        <v>-14923</v>
      </c>
      <c r="T49" s="12">
        <f>SUM(T38:T48)</f>
        <v>-8435</v>
      </c>
      <c r="U49" s="60">
        <f t="shared" si="55"/>
        <v>-12280</v>
      </c>
      <c r="V49" s="12">
        <f>SUM(V38:V48)</f>
        <v>1040</v>
      </c>
      <c r="W49" s="12">
        <f>SUM(W38:W48)</f>
        <v>69</v>
      </c>
      <c r="X49" s="12">
        <f>SUM(X38:X48)</f>
        <v>3023</v>
      </c>
      <c r="Y49" s="12">
        <f>SUM(Y38:Y48)</f>
        <v>26189</v>
      </c>
      <c r="Z49" s="60">
        <f t="shared" si="56"/>
        <v>30321</v>
      </c>
      <c r="AA49" s="12">
        <f>SUM(AA38:AA48)</f>
        <v>4136</v>
      </c>
      <c r="AB49" s="12">
        <f>SUM(AB38:AB48)</f>
        <v>19294</v>
      </c>
      <c r="AC49" s="12">
        <f>SUM(AC38:AC48)</f>
        <v>573</v>
      </c>
      <c r="AD49" s="12">
        <f>SUM(AD38:AD48)</f>
        <v>-151</v>
      </c>
      <c r="AE49" s="60">
        <f t="shared" si="57"/>
        <v>23852</v>
      </c>
      <c r="AF49" s="12">
        <f>SUM(AF38:AF48)</f>
        <v>170651</v>
      </c>
      <c r="AG49" s="12">
        <f>SUM(AG38:AG48)</f>
        <v>-60699</v>
      </c>
      <c r="AH49" s="12">
        <f>SUM(AH38:AH48)</f>
        <v>2380</v>
      </c>
      <c r="AI49" s="12">
        <f>SUM(AI38:AI48)</f>
        <v>-34924</v>
      </c>
      <c r="AJ49" s="60">
        <f t="shared" si="58"/>
        <v>77408</v>
      </c>
      <c r="AK49" s="12">
        <f>SUM(AK38:AK48)</f>
        <v>6562</v>
      </c>
      <c r="AL49" s="12">
        <f>SUM(AL38:AL48)</f>
        <v>-7191</v>
      </c>
      <c r="AM49" s="12">
        <f>SUM(AM38:AM48)</f>
        <v>443</v>
      </c>
      <c r="AN49" s="12">
        <f>SUM(AN38:AN48)</f>
        <v>5461</v>
      </c>
      <c r="AO49" s="60">
        <f t="shared" si="59"/>
        <v>5275</v>
      </c>
      <c r="AP49" s="12">
        <f>SUM(AP38:AP48)</f>
        <v>-694</v>
      </c>
      <c r="AQ49" s="12">
        <f>SUM(AQ38:AQ48)</f>
        <v>2871</v>
      </c>
      <c r="AR49" s="12">
        <f>SUM(AR38:AR48)</f>
        <v>-232</v>
      </c>
      <c r="AS49" s="12">
        <f>SUM(AS38:AS48)</f>
        <v>3605</v>
      </c>
      <c r="AT49" s="60">
        <f t="shared" si="60"/>
        <v>5550</v>
      </c>
      <c r="AU49" s="12">
        <f>SUM(AU38:AU48)</f>
        <v>1704</v>
      </c>
      <c r="AV49" s="12">
        <f>SUM(AV38:AV48)</f>
        <v>-5240</v>
      </c>
      <c r="AW49" s="12">
        <f>SUM(AW38:AW48)</f>
        <v>-1082</v>
      </c>
      <c r="AX49" s="12">
        <f>SUM(AX38:AX48)</f>
        <v>3077</v>
      </c>
      <c r="AY49" s="60">
        <f t="shared" si="61"/>
        <v>-1541</v>
      </c>
      <c r="AZ49" s="12">
        <f>SUM(AZ38:AZ48)</f>
        <v>2135</v>
      </c>
      <c r="BA49" s="12">
        <f>SUM(BA38:BA48)</f>
        <v>28244</v>
      </c>
      <c r="BB49" s="12">
        <f>SUM(BB38:BB48)</f>
        <v>-3673</v>
      </c>
      <c r="BC49" s="12">
        <f>SUM(BC38:BC48)</f>
        <v>737</v>
      </c>
      <c r="BD49" s="60">
        <f t="shared" si="62"/>
        <v>27443</v>
      </c>
      <c r="BE49" s="12">
        <f>SUM(BE38:BE48)</f>
        <v>-3736</v>
      </c>
      <c r="BF49" s="12">
        <f>SUM(BF38:BF48)</f>
        <v>-21681</v>
      </c>
      <c r="BG49" s="12">
        <f>SUM(BG38:BG48)</f>
        <v>30654</v>
      </c>
      <c r="BH49" s="12">
        <f>SUM(BH38:BH48)</f>
        <v>-8609</v>
      </c>
      <c r="BI49" s="60">
        <f t="shared" si="63"/>
        <v>-3372</v>
      </c>
      <c r="BJ49" s="12">
        <f>SUM(BJ38:BJ48)</f>
        <v>-17853</v>
      </c>
      <c r="BK49" s="12">
        <f>SUM(BK38:BK48)</f>
        <v>-24374</v>
      </c>
      <c r="BL49" s="12">
        <f>SUM(BL38:BL48)</f>
        <v>-59902</v>
      </c>
      <c r="BM49" s="12">
        <f>SUM(BM38:BM48)</f>
        <v>-64518</v>
      </c>
      <c r="BN49" s="60">
        <f t="shared" si="64"/>
        <v>-166647</v>
      </c>
      <c r="BO49" s="12">
        <f>SUM(BO38:BO48)</f>
        <v>-7060</v>
      </c>
      <c r="BP49" s="12">
        <f>SUM(BP38:BP48)</f>
        <v>2917</v>
      </c>
      <c r="BQ49" s="12">
        <f>SUM(BQ38:BQ48)</f>
        <v>-22881</v>
      </c>
      <c r="BR49" s="12">
        <f>SUM(BR38:BR48)</f>
        <v>-10043</v>
      </c>
      <c r="BS49" s="60">
        <f t="shared" si="65"/>
        <v>-37067</v>
      </c>
      <c r="BT49" s="12">
        <f>SUM(BT38:BT48)</f>
        <v>-20792</v>
      </c>
      <c r="BU49" s="12">
        <f>SUM(BU38:BU48)</f>
        <v>-2679</v>
      </c>
      <c r="BV49" s="12">
        <f>SUM(BV38:BV48)</f>
        <v>-2094</v>
      </c>
      <c r="BW49" s="12">
        <f>SUM(BW38:BW48)</f>
        <v>15485</v>
      </c>
      <c r="BX49" s="60">
        <f t="shared" si="66"/>
        <v>-10080</v>
      </c>
      <c r="BY49" s="12">
        <f>SUM(BY38:BY48)</f>
        <v>-1637</v>
      </c>
      <c r="BZ49" s="12">
        <f>SUM(BZ38:BZ48)</f>
        <v>-34047</v>
      </c>
      <c r="CA49" s="12">
        <f>SUM(CA38:CA48)</f>
        <v>-36435</v>
      </c>
      <c r="CB49" s="12">
        <f>SUM(CB38:CB48)</f>
        <v>-52947</v>
      </c>
      <c r="CC49" s="60">
        <f t="shared" si="67"/>
        <v>-125066</v>
      </c>
      <c r="CD49" s="12">
        <f>SUM(CD38:CD48)</f>
        <v>-80445</v>
      </c>
      <c r="CE49" s="12">
        <f>SUM(CE38:CE48)</f>
        <v>-231005</v>
      </c>
      <c r="CF49" s="12">
        <f>SUM(CF38:CF48)</f>
        <v>-89411</v>
      </c>
      <c r="CG49" s="12">
        <f>SUM(CG38:CG48)</f>
        <v>-113688</v>
      </c>
      <c r="CH49" s="60">
        <f t="shared" si="68"/>
        <v>-514549</v>
      </c>
      <c r="CI49" s="12">
        <f>SUM(CI38:CI48)</f>
        <v>-117236</v>
      </c>
      <c r="CJ49" s="12">
        <f>SUM(CJ38:CJ48)</f>
        <v>-12557</v>
      </c>
      <c r="CK49" s="12">
        <f>SUM(CK38:CK48)</f>
        <v>-46198</v>
      </c>
      <c r="CL49" s="12">
        <f>SUM(CL38:CL48)</f>
        <v>-60389</v>
      </c>
      <c r="CM49" s="60">
        <f t="shared" si="69"/>
        <v>-236380</v>
      </c>
      <c r="CN49" s="12">
        <f>SUM(CN38:CN48)</f>
        <v>-90774</v>
      </c>
      <c r="CO49" s="12">
        <f>SUM(CO38:CO48)</f>
        <v>-119454</v>
      </c>
      <c r="CP49" s="12"/>
      <c r="CQ49" s="12"/>
      <c r="CR49" s="60">
        <f t="shared" si="70"/>
        <v>-210228</v>
      </c>
    </row>
    <row r="50" spans="1:96" s="2" customFormat="1" ht="11.15" customHeight="1" x14ac:dyDescent="0.25">
      <c r="A50" s="21"/>
      <c r="B50" s="11"/>
      <c r="C50" s="11"/>
      <c r="D50" s="11"/>
      <c r="E50" s="11"/>
      <c r="F50" s="61"/>
      <c r="G50" s="11"/>
      <c r="H50" s="11"/>
      <c r="I50" s="11"/>
      <c r="J50" s="11"/>
      <c r="K50" s="61"/>
      <c r="L50" s="11"/>
      <c r="M50" s="11"/>
      <c r="N50" s="11"/>
      <c r="O50" s="11"/>
      <c r="P50" s="61"/>
      <c r="Q50" s="11"/>
      <c r="R50" s="11"/>
      <c r="S50" s="11"/>
      <c r="T50" s="11"/>
      <c r="U50" s="61"/>
      <c r="V50" s="11"/>
      <c r="W50" s="11"/>
      <c r="X50" s="11"/>
      <c r="Y50" s="11"/>
      <c r="Z50" s="61"/>
      <c r="AA50" s="11"/>
      <c r="AB50" s="11"/>
      <c r="AC50" s="11"/>
      <c r="AD50" s="11"/>
      <c r="AE50" s="61"/>
      <c r="AF50" s="11"/>
      <c r="AG50" s="11"/>
      <c r="AH50" s="11"/>
      <c r="AI50" s="11"/>
      <c r="AJ50" s="61"/>
      <c r="AK50" s="11"/>
      <c r="AL50" s="11"/>
      <c r="AM50" s="11"/>
      <c r="AN50" s="11"/>
      <c r="AO50" s="61"/>
      <c r="AP50" s="11"/>
      <c r="AQ50" s="11"/>
      <c r="AR50" s="11"/>
      <c r="AS50" s="11"/>
      <c r="AT50" s="61"/>
      <c r="AU50" s="11"/>
      <c r="AV50" s="11"/>
      <c r="AW50" s="11"/>
      <c r="AX50" s="11"/>
      <c r="AY50" s="61"/>
      <c r="AZ50" s="11"/>
      <c r="BA50" s="11"/>
      <c r="BB50" s="11"/>
      <c r="BC50" s="11"/>
      <c r="BD50" s="61"/>
      <c r="BE50" s="11"/>
      <c r="BF50" s="11"/>
      <c r="BG50" s="11"/>
      <c r="BH50" s="11"/>
      <c r="BI50" s="61"/>
      <c r="BJ50" s="11"/>
      <c r="BK50" s="11"/>
      <c r="BL50" s="11"/>
      <c r="BM50" s="11"/>
      <c r="BN50" s="61"/>
      <c r="BO50" s="11"/>
      <c r="BP50" s="11"/>
      <c r="BQ50" s="11"/>
      <c r="BR50" s="11"/>
      <c r="BS50" s="61"/>
      <c r="BT50" s="11"/>
      <c r="BU50" s="11"/>
      <c r="BV50" s="11"/>
      <c r="BW50" s="11"/>
      <c r="BX50" s="61"/>
      <c r="BY50" s="11"/>
      <c r="BZ50" s="11"/>
      <c r="CA50" s="11"/>
      <c r="CB50" s="11"/>
      <c r="CC50" s="61"/>
      <c r="CD50" s="11"/>
      <c r="CE50" s="11"/>
      <c r="CF50" s="11"/>
      <c r="CG50" s="11"/>
      <c r="CH50" s="61"/>
      <c r="CI50" s="11"/>
      <c r="CJ50" s="11"/>
      <c r="CK50" s="11"/>
      <c r="CL50" s="11"/>
      <c r="CM50" s="61"/>
      <c r="CN50" s="11"/>
      <c r="CO50" s="11"/>
      <c r="CP50" s="11"/>
      <c r="CQ50" s="11"/>
      <c r="CR50" s="61"/>
    </row>
    <row r="51" spans="1:96" s="2" customFormat="1" ht="11.15" customHeight="1" x14ac:dyDescent="0.25">
      <c r="A51" s="6" t="s">
        <v>201</v>
      </c>
      <c r="B51" s="9">
        <f>'Cash Flows Cumulative'!B51</f>
        <v>61</v>
      </c>
      <c r="C51" s="9">
        <f>'Cash Flows Cumulative'!C51-'Cash Flows Cumulative'!B51</f>
        <v>106</v>
      </c>
      <c r="D51" s="9">
        <f>'Cash Flows Cumulative'!D51-'Cash Flows Cumulative'!C51</f>
        <v>6</v>
      </c>
      <c r="E51" s="9">
        <f>'Cash Flows Cumulative'!E51-'Cash Flows Cumulative'!D51</f>
        <v>149</v>
      </c>
      <c r="F51" s="59">
        <f t="shared" ref="F51" si="71">SUM(B51:E51)</f>
        <v>322</v>
      </c>
      <c r="G51" s="9">
        <f>'Cash Flows Cumulative'!G51</f>
        <v>-51</v>
      </c>
      <c r="H51" s="9">
        <f>'Cash Flows Cumulative'!H51-'Cash Flows Cumulative'!G51</f>
        <v>-6</v>
      </c>
      <c r="I51" s="9">
        <f>'Cash Flows Cumulative'!I51-'Cash Flows Cumulative'!H51</f>
        <v>80</v>
      </c>
      <c r="J51" s="9">
        <f>'Cash Flows Cumulative'!J51-'Cash Flows Cumulative'!I51</f>
        <v>290</v>
      </c>
      <c r="K51" s="59">
        <f t="shared" ref="K51" si="72">SUM(G51:J51)</f>
        <v>313</v>
      </c>
      <c r="L51" s="9">
        <f>'Cash Flows Cumulative'!L51</f>
        <v>169</v>
      </c>
      <c r="M51" s="9">
        <f>'Cash Flows Cumulative'!M51-'Cash Flows Cumulative'!L51</f>
        <v>-119</v>
      </c>
      <c r="N51" s="9">
        <f>'Cash Flows Cumulative'!N51-'Cash Flows Cumulative'!M51</f>
        <v>-481</v>
      </c>
      <c r="O51" s="9">
        <f>'Cash Flows Cumulative'!O51-'Cash Flows Cumulative'!N51</f>
        <v>237</v>
      </c>
      <c r="P51" s="59">
        <f t="shared" ref="P51" si="73">SUM(L51:O51)</f>
        <v>-194</v>
      </c>
      <c r="Q51" s="9">
        <f>'Cash Flows Cumulative'!Q51</f>
        <v>-2096</v>
      </c>
      <c r="R51" s="9">
        <f>'Cash Flows Cumulative'!R51-'Cash Flows Cumulative'!Q51</f>
        <v>1783</v>
      </c>
      <c r="S51" s="9">
        <f>'Cash Flows Cumulative'!S51-'Cash Flows Cumulative'!R51</f>
        <v>1014</v>
      </c>
      <c r="T51" s="9">
        <f>'Cash Flows Cumulative'!T51-'Cash Flows Cumulative'!S51</f>
        <v>-550</v>
      </c>
      <c r="U51" s="59">
        <f t="shared" ref="U51" si="74">SUM(Q51:T51)</f>
        <v>151</v>
      </c>
      <c r="V51" s="9">
        <f>'Cash Flows Cumulative'!V51</f>
        <v>-1909</v>
      </c>
      <c r="W51" s="9">
        <f>'Cash Flows Cumulative'!W51-'Cash Flows Cumulative'!V51</f>
        <v>-2211</v>
      </c>
      <c r="X51" s="9">
        <f>'Cash Flows Cumulative'!X51-'Cash Flows Cumulative'!W51</f>
        <v>2429</v>
      </c>
      <c r="Y51" s="9">
        <f>'Cash Flows Cumulative'!Y51-'Cash Flows Cumulative'!X51</f>
        <v>-2006</v>
      </c>
      <c r="Z51" s="59">
        <f t="shared" ref="Z51" si="75">SUM(V51:Y51)</f>
        <v>-3697</v>
      </c>
      <c r="AA51" s="9">
        <f>'Cash Flows Cumulative'!AA51</f>
        <v>5248</v>
      </c>
      <c r="AB51" s="9">
        <f>'Cash Flows Cumulative'!AB51-'Cash Flows Cumulative'!AA51</f>
        <v>1532</v>
      </c>
      <c r="AC51" s="9">
        <f>'Cash Flows Cumulative'!AC51-'Cash Flows Cumulative'!AB51</f>
        <v>-10551</v>
      </c>
      <c r="AD51" s="9">
        <f>'Cash Flows Cumulative'!AD51-'Cash Flows Cumulative'!AC51</f>
        <v>-3992</v>
      </c>
      <c r="AE51" s="59">
        <f t="shared" ref="AE51" si="76">SUM(AA51:AD51)</f>
        <v>-7763</v>
      </c>
      <c r="AF51" s="9">
        <f>'Cash Flows Cumulative'!AF51</f>
        <v>4762</v>
      </c>
      <c r="AG51" s="9">
        <f>'Cash Flows Cumulative'!AG51-'Cash Flows Cumulative'!AF51</f>
        <v>-8602</v>
      </c>
      <c r="AH51" s="9">
        <f>'Cash Flows Cumulative'!AH51-'Cash Flows Cumulative'!AG51</f>
        <v>1640</v>
      </c>
      <c r="AI51" s="9">
        <f>'Cash Flows Cumulative'!AI51-'Cash Flows Cumulative'!AH51</f>
        <v>3913</v>
      </c>
      <c r="AJ51" s="59">
        <f t="shared" ref="AJ51" si="77">SUM(AF51:AI51)</f>
        <v>1713</v>
      </c>
      <c r="AK51" s="9">
        <f>'Cash Flows Cumulative'!AK51</f>
        <v>-2188</v>
      </c>
      <c r="AL51" s="9">
        <f>'Cash Flows Cumulative'!AL51-'Cash Flows Cumulative'!AK51</f>
        <v>863</v>
      </c>
      <c r="AM51" s="9">
        <f>'Cash Flows Cumulative'!AM51-'Cash Flows Cumulative'!AL51</f>
        <v>4486</v>
      </c>
      <c r="AN51" s="9">
        <f>'Cash Flows Cumulative'!AN51-'Cash Flows Cumulative'!AM51</f>
        <v>3932</v>
      </c>
      <c r="AO51" s="59">
        <f t="shared" ref="AO51" si="78">SUM(AK51:AN51)</f>
        <v>7093</v>
      </c>
      <c r="AP51" s="9">
        <f>'Cash Flows Cumulative'!AP51</f>
        <v>-1124</v>
      </c>
      <c r="AQ51" s="9">
        <f>'Cash Flows Cumulative'!AQ51-'Cash Flows Cumulative'!AP51</f>
        <v>-213</v>
      </c>
      <c r="AR51" s="9">
        <f>'Cash Flows Cumulative'!AR51-'Cash Flows Cumulative'!AQ51</f>
        <v>-14410</v>
      </c>
      <c r="AS51" s="9">
        <f>'Cash Flows Cumulative'!AS51-'Cash Flows Cumulative'!AR51</f>
        <v>-12433</v>
      </c>
      <c r="AT51" s="59">
        <f t="shared" ref="AT51" si="79">SUM(AP51:AS51)</f>
        <v>-28180</v>
      </c>
      <c r="AU51" s="9">
        <f>'Cash Flows Cumulative'!AU51</f>
        <v>-20367</v>
      </c>
      <c r="AV51" s="9">
        <f>'Cash Flows Cumulative'!AV51-'Cash Flows Cumulative'!AU51</f>
        <v>3525</v>
      </c>
      <c r="AW51" s="9">
        <f>'Cash Flows Cumulative'!AW51-'Cash Flows Cumulative'!AV51</f>
        <v>5520</v>
      </c>
      <c r="AX51" s="9">
        <f>'Cash Flows Cumulative'!AX51-'Cash Flows Cumulative'!AW51</f>
        <v>-8670</v>
      </c>
      <c r="AY51" s="59">
        <f t="shared" ref="AY51" si="80">SUM(AU51:AX51)</f>
        <v>-19992</v>
      </c>
      <c r="AZ51" s="9">
        <f>'Cash Flows Cumulative'!AZ51</f>
        <v>8812</v>
      </c>
      <c r="BA51" s="9">
        <f>'Cash Flows Cumulative'!BA51-'Cash Flows Cumulative'!AZ51</f>
        <v>-5116</v>
      </c>
      <c r="BB51" s="9">
        <f>'Cash Flows Cumulative'!BB51-'Cash Flows Cumulative'!BA51</f>
        <v>3683</v>
      </c>
      <c r="BC51" s="9">
        <f>'Cash Flows Cumulative'!BC51-'Cash Flows Cumulative'!BB51</f>
        <v>-16787</v>
      </c>
      <c r="BD51" s="59">
        <f t="shared" si="62"/>
        <v>-9408</v>
      </c>
      <c r="BE51" s="9">
        <f>'Cash Flows Cumulative'!BE51</f>
        <v>6465</v>
      </c>
      <c r="BF51" s="9">
        <f>'Cash Flows Cumulative'!BF51-'Cash Flows Cumulative'!BE51</f>
        <v>25402</v>
      </c>
      <c r="BG51" s="9">
        <f>'Cash Flows Cumulative'!BG51-'Cash Flows Cumulative'!BF51</f>
        <v>15774</v>
      </c>
      <c r="BH51" s="9">
        <f>'Cash Flows Cumulative'!BH51-'Cash Flows Cumulative'!BG51</f>
        <v>7186</v>
      </c>
      <c r="BI51" s="59">
        <f t="shared" ref="BI51" si="81">SUM(BE51:BH51)</f>
        <v>54827</v>
      </c>
      <c r="BJ51" s="9">
        <f>'Cash Flows Cumulative'!BJ51</f>
        <v>16866</v>
      </c>
      <c r="BK51" s="9">
        <f>'Cash Flows Cumulative'!BK51-'Cash Flows Cumulative'!BJ51</f>
        <v>-47977</v>
      </c>
      <c r="BL51" s="9">
        <f>'Cash Flows Cumulative'!BL51-'Cash Flows Cumulative'!BK51</f>
        <v>7563</v>
      </c>
      <c r="BM51" s="9">
        <f>'Cash Flows Cumulative'!BM51-'Cash Flows Cumulative'!BL51</f>
        <v>-5649</v>
      </c>
      <c r="BN51" s="59">
        <f t="shared" ref="BN51" si="82">SUM(BJ51:BM51)</f>
        <v>-29197</v>
      </c>
      <c r="BO51" s="9">
        <f>'Cash Flows Cumulative'!BO51</f>
        <v>-5997</v>
      </c>
      <c r="BP51" s="9">
        <f>'Cash Flows Cumulative'!BP51-'Cash Flows Cumulative'!BO51</f>
        <v>3238</v>
      </c>
      <c r="BQ51" s="9">
        <f>'Cash Flows Cumulative'!BQ51-'Cash Flows Cumulative'!BP51</f>
        <v>-13802</v>
      </c>
      <c r="BR51" s="9">
        <f>'Cash Flows Cumulative'!BR51-'Cash Flows Cumulative'!BQ51</f>
        <v>8708</v>
      </c>
      <c r="BS51" s="59">
        <f t="shared" ref="BS51" si="83">SUM(BO51:BR51)</f>
        <v>-7853</v>
      </c>
      <c r="BT51" s="9">
        <f>'Cash Flows Cumulative'!BT51</f>
        <v>-6878</v>
      </c>
      <c r="BU51" s="9">
        <f>'Cash Flows Cumulative'!BU51-'Cash Flows Cumulative'!BT51</f>
        <v>2355</v>
      </c>
      <c r="BV51" s="9">
        <f>'Cash Flows Cumulative'!BV51-'Cash Flows Cumulative'!BU51</f>
        <v>9215</v>
      </c>
      <c r="BW51" s="9">
        <f>'Cash Flows Cumulative'!BW51-'Cash Flows Cumulative'!BV51</f>
        <v>15196</v>
      </c>
      <c r="BX51" s="59">
        <f t="shared" ref="BX51" si="84">SUM(BT51:BW51)</f>
        <v>19888</v>
      </c>
      <c r="BY51" s="9">
        <f>'Cash Flows Cumulative'!BY51</f>
        <v>-7024</v>
      </c>
      <c r="BZ51" s="9">
        <f>'Cash Flows Cumulative'!BZ51-'Cash Flows Cumulative'!BY51</f>
        <v>-1193</v>
      </c>
      <c r="CA51" s="9">
        <f>'Cash Flows Cumulative'!CA51-'Cash Flows Cumulative'!BZ51</f>
        <v>-3645</v>
      </c>
      <c r="CB51" s="9">
        <f>'Cash Flows Cumulative'!CB51-'Cash Flows Cumulative'!CA51</f>
        <v>-5938</v>
      </c>
      <c r="CC51" s="59">
        <f t="shared" ref="CC51" si="85">SUM(BY51:CB51)</f>
        <v>-17800</v>
      </c>
      <c r="CD51" s="9">
        <f>'Cash Flows Cumulative'!CD51</f>
        <v>-5036</v>
      </c>
      <c r="CE51" s="104">
        <f>'Cash Flows Cumulative'!CE51-'Cash Flows Cumulative'!CD51</f>
        <v>3787</v>
      </c>
      <c r="CF51" s="104">
        <f>'Cash Flows Cumulative'!CF51-'Cash Flows Cumulative'!CE51</f>
        <v>-16212</v>
      </c>
      <c r="CG51" s="104">
        <f>'Cash Flows Cumulative'!CG51-'Cash Flows Cumulative'!CF51</f>
        <v>11513</v>
      </c>
      <c r="CH51" s="59">
        <f t="shared" ref="CH51" si="86">SUM(CD51:CG51)</f>
        <v>-5948</v>
      </c>
      <c r="CI51" s="9">
        <f>'Cash Flows Cumulative'!CI51</f>
        <v>-1098</v>
      </c>
      <c r="CJ51" s="9">
        <f>'Cash Flows Cumulative'!CJ51-'Cash Flows Cumulative'!CI51</f>
        <v>-7652</v>
      </c>
      <c r="CK51" s="9">
        <f>'Cash Flows Cumulative'!CK51-'Cash Flows Cumulative'!CJ51</f>
        <v>-12112</v>
      </c>
      <c r="CL51" s="9">
        <f>'Cash Flows Cumulative'!CL51-'Cash Flows Cumulative'!CK51</f>
        <v>15275</v>
      </c>
      <c r="CM51" s="59">
        <f t="shared" ref="CM51" si="87">SUM(CI51:CL51)</f>
        <v>-5587</v>
      </c>
      <c r="CN51" s="9">
        <f>'Cash Flows Cumulative'!CN51</f>
        <v>-5780</v>
      </c>
      <c r="CO51" s="9">
        <f>'Cash Flows Cumulative'!CO51-'Cash Flows Cumulative'!CN51</f>
        <v>5176</v>
      </c>
      <c r="CP51" s="9"/>
      <c r="CQ51" s="9"/>
      <c r="CR51" s="59">
        <f t="shared" ref="CR51" si="88">SUM(CN51:CQ51)</f>
        <v>-604</v>
      </c>
    </row>
    <row r="52" spans="1:96" s="2" customFormat="1" ht="11.15" customHeight="1" x14ac:dyDescent="0.25">
      <c r="A52" s="21"/>
      <c r="B52" s="11"/>
      <c r="C52" s="11"/>
      <c r="D52" s="11"/>
      <c r="E52" s="11"/>
      <c r="F52" s="61"/>
      <c r="G52" s="11"/>
      <c r="H52" s="11"/>
      <c r="I52" s="11"/>
      <c r="J52" s="11"/>
      <c r="K52" s="61"/>
      <c r="L52" s="11"/>
      <c r="M52" s="11"/>
      <c r="N52" s="11"/>
      <c r="O52" s="11"/>
      <c r="P52" s="61"/>
      <c r="Q52" s="11"/>
      <c r="R52" s="11"/>
      <c r="S52" s="11"/>
      <c r="T52" s="11"/>
      <c r="U52" s="61"/>
      <c r="V52" s="11"/>
      <c r="W52" s="11"/>
      <c r="X52" s="11"/>
      <c r="Y52" s="11"/>
      <c r="Z52" s="61"/>
      <c r="AA52" s="11"/>
      <c r="AB52" s="11"/>
      <c r="AC52" s="11"/>
      <c r="AD52" s="11"/>
      <c r="AE52" s="61"/>
      <c r="AF52" s="11"/>
      <c r="AG52" s="11"/>
      <c r="AH52" s="11"/>
      <c r="AI52" s="11"/>
      <c r="AJ52" s="61"/>
      <c r="AK52" s="11"/>
      <c r="AL52" s="11"/>
      <c r="AM52" s="11"/>
      <c r="AN52" s="11"/>
      <c r="AO52" s="61"/>
      <c r="AP52" s="11"/>
      <c r="AQ52" s="11"/>
      <c r="AR52" s="11"/>
      <c r="AS52" s="11"/>
      <c r="AT52" s="61"/>
      <c r="AU52" s="11"/>
      <c r="AV52" s="11"/>
      <c r="AW52" s="11"/>
      <c r="AX52" s="11"/>
      <c r="AY52" s="61"/>
      <c r="AZ52" s="11"/>
      <c r="BA52" s="11"/>
      <c r="BB52" s="11"/>
      <c r="BC52" s="11"/>
      <c r="BD52" s="61"/>
      <c r="BE52" s="11"/>
      <c r="BF52" s="11"/>
      <c r="BG52" s="11"/>
      <c r="BH52" s="11"/>
      <c r="BI52" s="61"/>
      <c r="BJ52" s="11"/>
      <c r="BK52" s="11"/>
      <c r="BL52" s="11"/>
      <c r="BM52" s="11"/>
      <c r="BN52" s="61"/>
      <c r="BO52" s="11"/>
      <c r="BP52" s="11"/>
      <c r="BQ52" s="11"/>
      <c r="BR52" s="11"/>
      <c r="BS52" s="61"/>
      <c r="BT52" s="11"/>
      <c r="BU52" s="11"/>
      <c r="BV52" s="11"/>
      <c r="BW52" s="11"/>
      <c r="BX52" s="61"/>
      <c r="BY52" s="11"/>
      <c r="BZ52" s="11"/>
      <c r="CA52" s="11"/>
      <c r="CB52" s="11"/>
      <c r="CC52" s="61"/>
      <c r="CD52" s="11"/>
      <c r="CE52" s="11"/>
      <c r="CF52" s="11"/>
      <c r="CG52" s="11"/>
      <c r="CH52" s="61"/>
      <c r="CI52" s="11"/>
      <c r="CJ52" s="11"/>
      <c r="CK52" s="11"/>
      <c r="CL52" s="11"/>
      <c r="CM52" s="61"/>
      <c r="CN52" s="11"/>
      <c r="CO52" s="11"/>
      <c r="CP52" s="11"/>
      <c r="CQ52" s="11"/>
      <c r="CR52" s="61"/>
    </row>
    <row r="53" spans="1:96" ht="11.15" customHeight="1" x14ac:dyDescent="0.2">
      <c r="A53" s="13" t="s">
        <v>202</v>
      </c>
      <c r="B53" s="11">
        <f>B24+B35+B49+B51</f>
        <v>2492</v>
      </c>
      <c r="C53" s="11">
        <f>C24+C35+C49+C51</f>
        <v>429</v>
      </c>
      <c r="D53" s="11">
        <f>D24+D35+D49+D51</f>
        <v>75</v>
      </c>
      <c r="E53" s="11">
        <f>E24+E35+E49+E51</f>
        <v>64310</v>
      </c>
      <c r="F53" s="61">
        <f t="shared" ref="F53" si="89">SUM(B53:E53)</f>
        <v>67306</v>
      </c>
      <c r="G53" s="11">
        <f>G24+G35+G49+G51</f>
        <v>-26538</v>
      </c>
      <c r="H53" s="11">
        <f>H24+H35+H49+H51</f>
        <v>-2420</v>
      </c>
      <c r="I53" s="11">
        <f>I24+I35+I49+I51</f>
        <v>-1959</v>
      </c>
      <c r="J53" s="11">
        <f>J24+J35+J49+J51</f>
        <v>-6778</v>
      </c>
      <c r="K53" s="61">
        <f t="shared" ref="K53" si="90">SUM(G53:J53)</f>
        <v>-37695</v>
      </c>
      <c r="L53" s="11">
        <f>L24+L35+L49+L51</f>
        <v>726</v>
      </c>
      <c r="M53" s="11">
        <f>M24+M35+M49+M51</f>
        <v>6228</v>
      </c>
      <c r="N53" s="11">
        <f>N24+N35+N49+N51</f>
        <v>-587</v>
      </c>
      <c r="O53" s="11">
        <f>O24+O35+O49+O51</f>
        <v>6944</v>
      </c>
      <c r="P53" s="61">
        <f t="shared" ref="P53" si="91">SUM(L53:O53)</f>
        <v>13311</v>
      </c>
      <c r="Q53" s="11">
        <f>Q24+Q35+Q49+Q51</f>
        <v>20318</v>
      </c>
      <c r="R53" s="11">
        <f>R24+R35+R49+R51</f>
        <v>6467</v>
      </c>
      <c r="S53" s="11">
        <f>S24+S35+S49+S51</f>
        <v>-1759</v>
      </c>
      <c r="T53" s="11">
        <f>T24+T35+T49+T51</f>
        <v>6611</v>
      </c>
      <c r="U53" s="61">
        <f t="shared" ref="U53" si="92">SUM(Q53:T53)</f>
        <v>31637</v>
      </c>
      <c r="V53" s="11">
        <f>V24+V35+V49+V51</f>
        <v>1487</v>
      </c>
      <c r="W53" s="11">
        <f>W24+W35+W49+W51</f>
        <v>6248</v>
      </c>
      <c r="X53" s="11">
        <f>X24+X35+X49+X51</f>
        <v>5975</v>
      </c>
      <c r="Y53" s="11">
        <f>Y24+Y35+Y49+Y51</f>
        <v>51230</v>
      </c>
      <c r="Z53" s="61">
        <f t="shared" ref="Z53" si="93">SUM(V53:Y53)</f>
        <v>64940</v>
      </c>
      <c r="AA53" s="11">
        <f>AA24+AA35+AA49+AA51</f>
        <v>12758</v>
      </c>
      <c r="AB53" s="11">
        <f>AB24+AB35+AB49+AB51</f>
        <v>27578</v>
      </c>
      <c r="AC53" s="11">
        <f>AC24+AC35+AC49+AC51</f>
        <v>8390</v>
      </c>
      <c r="AD53" s="11">
        <f>AD24+AD35+AD49+AD51</f>
        <v>-16352</v>
      </c>
      <c r="AE53" s="61">
        <f t="shared" ref="AE53" si="94">SUM(AA53:AD53)</f>
        <v>32374</v>
      </c>
      <c r="AF53" s="11">
        <f>AF24+AF35+AF49+AF51</f>
        <v>196837</v>
      </c>
      <c r="AG53" s="11">
        <f>AG24+AG35+AG49+AG51</f>
        <v>-31493</v>
      </c>
      <c r="AH53" s="11">
        <f>AH24+AH35+AH49+AH51</f>
        <v>26991</v>
      </c>
      <c r="AI53" s="11">
        <f>AI24+AI35+AI49+AI51</f>
        <v>11484</v>
      </c>
      <c r="AJ53" s="61">
        <f t="shared" ref="AJ53" si="95">SUM(AF53:AI53)</f>
        <v>203819</v>
      </c>
      <c r="AK53" s="11">
        <f>AK24+AK35+AK49+AK51</f>
        <v>-28338</v>
      </c>
      <c r="AL53" s="11">
        <f>AL24+AL35+AL49+AL51</f>
        <v>13769</v>
      </c>
      <c r="AM53" s="11">
        <f>AM24+AM35+AM49+AM51</f>
        <v>28871</v>
      </c>
      <c r="AN53" s="11">
        <f>AN24+AN35+AN49+AN51</f>
        <v>50421</v>
      </c>
      <c r="AO53" s="61">
        <f t="shared" ref="AO53" si="96">SUM(AK53:AN53)</f>
        <v>64723</v>
      </c>
      <c r="AP53" s="11">
        <f>AP24+AP35+AP49+AP51</f>
        <v>31833</v>
      </c>
      <c r="AQ53" s="11">
        <f>AQ24+AQ35+AQ49+AQ51</f>
        <v>2823</v>
      </c>
      <c r="AR53" s="11">
        <f>AR24+AR35+AR49+AR51</f>
        <v>4086</v>
      </c>
      <c r="AS53" s="11">
        <f>AS24+AS35+AS49+AS51</f>
        <v>34632</v>
      </c>
      <c r="AT53" s="61">
        <f t="shared" ref="AT53" si="97">SUM(AP53:AS53)</f>
        <v>73374</v>
      </c>
      <c r="AU53" s="11">
        <f>AU24+AU35+AU49+AU51</f>
        <v>19324</v>
      </c>
      <c r="AV53" s="11">
        <f>AV24+AV35+AV49+AV51</f>
        <v>30034</v>
      </c>
      <c r="AW53" s="11">
        <f>AW24+AW35+AW49+AW51</f>
        <v>79712</v>
      </c>
      <c r="AX53" s="11">
        <f>AX24+AX35+AX49+AX51</f>
        <v>-68688</v>
      </c>
      <c r="AY53" s="61">
        <f t="shared" ref="AY53" si="98">SUM(AU53:AX53)</f>
        <v>60382</v>
      </c>
      <c r="AZ53" s="11">
        <f>AZ24+AZ35+AZ49+AZ51</f>
        <v>31160</v>
      </c>
      <c r="BA53" s="11">
        <f>BA24+BA35+BA49+BA51</f>
        <v>-26406</v>
      </c>
      <c r="BB53" s="11">
        <f>BB24+BB35+BB49+BB51</f>
        <v>58272</v>
      </c>
      <c r="BC53" s="11">
        <f>BC24+BC35+BC49+BC51</f>
        <v>-21703</v>
      </c>
      <c r="BD53" s="61">
        <f t="shared" si="62"/>
        <v>41323</v>
      </c>
      <c r="BE53" s="11">
        <f>BE24+BE35+BE49+BE51</f>
        <v>73923</v>
      </c>
      <c r="BF53" s="11">
        <f>BF24+BF35+BF49+BF51</f>
        <v>110333</v>
      </c>
      <c r="BG53" s="11">
        <f>BG24+BG35+BG49+BG51</f>
        <v>72156</v>
      </c>
      <c r="BH53" s="11">
        <f>BH24+BH35+BH49+BH51</f>
        <v>29633</v>
      </c>
      <c r="BI53" s="61">
        <f t="shared" ref="BI53" si="99">SUM(BE53:BH53)</f>
        <v>286045</v>
      </c>
      <c r="BJ53" s="11">
        <f>BJ24+BJ35+BJ49+BJ51</f>
        <v>59223</v>
      </c>
      <c r="BK53" s="11">
        <f>BK24+BK35+BK49+BK51</f>
        <v>-152331</v>
      </c>
      <c r="BL53" s="11">
        <f>BL24+BL35+BL49+BL51</f>
        <v>-169186</v>
      </c>
      <c r="BM53" s="11">
        <f>BM24+BM35+BM49+BM51</f>
        <v>-103248</v>
      </c>
      <c r="BN53" s="61">
        <f t="shared" ref="BN53" si="100">SUM(BJ53:BM53)</f>
        <v>-365542</v>
      </c>
      <c r="BO53" s="11">
        <f>BO24+BO35+BO49+BO51</f>
        <v>7446</v>
      </c>
      <c r="BP53" s="11">
        <f>BP24+BP35+BP49+BP51</f>
        <v>-18827</v>
      </c>
      <c r="BQ53" s="11">
        <f>BQ24+BQ35+BQ49+BQ51</f>
        <v>50141</v>
      </c>
      <c r="BR53" s="11">
        <f>BR24+BR35+BR49+BR51</f>
        <v>99866</v>
      </c>
      <c r="BS53" s="61">
        <f t="shared" ref="BS53" si="101">SUM(BO53:BR53)</f>
        <v>138626</v>
      </c>
      <c r="BT53" s="11">
        <f>BT24+BT35+BT49+BT51</f>
        <v>-110643</v>
      </c>
      <c r="BU53" s="11">
        <f>BU24+BU35+BU49+BU51</f>
        <v>177701</v>
      </c>
      <c r="BV53" s="11">
        <f>BV24+BV35+BV49+BV51</f>
        <v>16008</v>
      </c>
      <c r="BW53" s="11">
        <f>BW24+BW35+BW49+BW51</f>
        <v>112503</v>
      </c>
      <c r="BX53" s="61">
        <f t="shared" ref="BX53" si="102">SUM(BT53:BW53)</f>
        <v>195569</v>
      </c>
      <c r="BY53" s="11">
        <f>BY24+BY35+BY49+BY51</f>
        <v>18188</v>
      </c>
      <c r="BZ53" s="11">
        <f>BZ24+BZ35+BZ49+BZ51</f>
        <v>-142542</v>
      </c>
      <c r="CA53" s="11">
        <f>CA24+CA35+CA49+CA51</f>
        <v>40705</v>
      </c>
      <c r="CB53" s="11">
        <f>CB24+CB35+CB49+CB51</f>
        <v>-85799</v>
      </c>
      <c r="CC53" s="61">
        <f t="shared" ref="CC53" si="103">SUM(BY53:CB53)</f>
        <v>-169448</v>
      </c>
      <c r="CD53" s="11">
        <f>CD24+CD35+CD49+CD51</f>
        <v>-66588</v>
      </c>
      <c r="CE53" s="11">
        <f>CE24+CE35+CE49+CE51</f>
        <v>129271</v>
      </c>
      <c r="CF53" s="11">
        <f>CF24+CF35+CF49+CF51</f>
        <v>97486</v>
      </c>
      <c r="CG53" s="11">
        <f>CG24+CG35+CG49+CG51</f>
        <v>-171065</v>
      </c>
      <c r="CH53" s="61">
        <f>SUM(CD53:CG53)</f>
        <v>-10896</v>
      </c>
      <c r="CI53" s="11">
        <f>CI24+CI35+CI49+CI51</f>
        <v>-177072</v>
      </c>
      <c r="CJ53" s="11">
        <f>CJ24+CJ35+CJ49+CJ51</f>
        <v>51934</v>
      </c>
      <c r="CK53" s="11">
        <f>CK24+CK35+CK49+CK51</f>
        <v>-44787</v>
      </c>
      <c r="CL53" s="11">
        <f>CL24+CL35+CL49+CL51</f>
        <v>-13610</v>
      </c>
      <c r="CM53" s="61">
        <f>SUM(CI53:CL53)</f>
        <v>-183535</v>
      </c>
      <c r="CN53" s="11">
        <f>CN24+CN35+CN49+CN51</f>
        <v>-18222</v>
      </c>
      <c r="CO53" s="11">
        <f>CO24+CO35+CO49+CO51</f>
        <v>224088</v>
      </c>
      <c r="CP53" s="11"/>
      <c r="CQ53" s="11"/>
      <c r="CR53" s="61">
        <f>SUM(CN53:CQ53)</f>
        <v>205866</v>
      </c>
    </row>
    <row r="54" spans="1:96" ht="11.15" customHeight="1" x14ac:dyDescent="0.2">
      <c r="A54" s="13" t="s">
        <v>203</v>
      </c>
      <c r="B54" s="9">
        <f>'Cash Flows Cumulative'!B54</f>
        <v>8361</v>
      </c>
      <c r="C54" s="9">
        <f>B55</f>
        <v>10853</v>
      </c>
      <c r="D54" s="9">
        <f>C55</f>
        <v>11282</v>
      </c>
      <c r="E54" s="9">
        <f>D55</f>
        <v>11357</v>
      </c>
      <c r="F54" s="59">
        <f>'Cash Flows Cumulative'!B54</f>
        <v>8361</v>
      </c>
      <c r="G54" s="9">
        <f>F55</f>
        <v>75667</v>
      </c>
      <c r="H54" s="9">
        <f>G55</f>
        <v>49129</v>
      </c>
      <c r="I54" s="9">
        <f>H55</f>
        <v>46709</v>
      </c>
      <c r="J54" s="9">
        <f>I55</f>
        <v>44750</v>
      </c>
      <c r="K54" s="59">
        <f>F55</f>
        <v>75667</v>
      </c>
      <c r="L54" s="9">
        <f>K55</f>
        <v>37972</v>
      </c>
      <c r="M54" s="9">
        <f>L55</f>
        <v>38698</v>
      </c>
      <c r="N54" s="9">
        <f>M55</f>
        <v>44926</v>
      </c>
      <c r="O54" s="9">
        <f>N55</f>
        <v>44339</v>
      </c>
      <c r="P54" s="59">
        <f>K55</f>
        <v>37972</v>
      </c>
      <c r="Q54" s="9">
        <f>P55</f>
        <v>51283</v>
      </c>
      <c r="R54" s="9">
        <f>Q55</f>
        <v>71601</v>
      </c>
      <c r="S54" s="9">
        <f>R55</f>
        <v>78068</v>
      </c>
      <c r="T54" s="9">
        <f>S55</f>
        <v>76309</v>
      </c>
      <c r="U54" s="59">
        <f>P55</f>
        <v>51283</v>
      </c>
      <c r="V54" s="9">
        <f>U55</f>
        <v>82920</v>
      </c>
      <c r="W54" s="9">
        <f>V55</f>
        <v>84407</v>
      </c>
      <c r="X54" s="9">
        <f>W55</f>
        <v>90655</v>
      </c>
      <c r="Y54" s="9">
        <f>X55</f>
        <v>96630</v>
      </c>
      <c r="Z54" s="59">
        <f>U55</f>
        <v>82920</v>
      </c>
      <c r="AA54" s="9">
        <f>Z55</f>
        <v>147860</v>
      </c>
      <c r="AB54" s="9">
        <f>AA55</f>
        <v>160618</v>
      </c>
      <c r="AC54" s="9">
        <f>AB55</f>
        <v>188196</v>
      </c>
      <c r="AD54" s="9">
        <f>AC55</f>
        <v>196586</v>
      </c>
      <c r="AE54" s="59">
        <f>Z55</f>
        <v>147860</v>
      </c>
      <c r="AF54" s="9">
        <f>AE55</f>
        <v>180234</v>
      </c>
      <c r="AG54" s="9">
        <f>AF55</f>
        <v>377071</v>
      </c>
      <c r="AH54" s="9">
        <f>AG55</f>
        <v>345578</v>
      </c>
      <c r="AI54" s="9">
        <f>AH55</f>
        <v>372569</v>
      </c>
      <c r="AJ54" s="59">
        <f>AE55</f>
        <v>180234</v>
      </c>
      <c r="AK54" s="9">
        <f>AJ55</f>
        <v>384053</v>
      </c>
      <c r="AL54" s="9">
        <f>AK55</f>
        <v>355715</v>
      </c>
      <c r="AM54" s="9">
        <f>AL55</f>
        <v>369484</v>
      </c>
      <c r="AN54" s="9">
        <f>AM55</f>
        <v>398355</v>
      </c>
      <c r="AO54" s="59">
        <f>AJ55</f>
        <v>384053</v>
      </c>
      <c r="AP54" s="9">
        <f>AO55</f>
        <v>448776</v>
      </c>
      <c r="AQ54" s="9">
        <f>AP55</f>
        <v>480609</v>
      </c>
      <c r="AR54" s="9">
        <f>AQ55</f>
        <v>483432</v>
      </c>
      <c r="AS54" s="9">
        <f>AR55</f>
        <v>487518</v>
      </c>
      <c r="AT54" s="59">
        <f>AO55</f>
        <v>448776</v>
      </c>
      <c r="AU54" s="9">
        <f>AT55</f>
        <v>522150</v>
      </c>
      <c r="AV54" s="9">
        <f>AU55</f>
        <v>541474</v>
      </c>
      <c r="AW54" s="9">
        <f>AV55</f>
        <v>571508</v>
      </c>
      <c r="AX54" s="9">
        <f>AW55</f>
        <v>651220</v>
      </c>
      <c r="AY54" s="59">
        <f>AT55</f>
        <v>522150</v>
      </c>
      <c r="AZ54" s="9">
        <f>AY55</f>
        <v>582532</v>
      </c>
      <c r="BA54" s="9">
        <f>AZ55</f>
        <v>613692</v>
      </c>
      <c r="BB54" s="9">
        <f>BA55</f>
        <v>587286</v>
      </c>
      <c r="BC54" s="9">
        <f>BB55</f>
        <v>645558</v>
      </c>
      <c r="BD54" s="59">
        <f>AY55</f>
        <v>582532</v>
      </c>
      <c r="BE54" s="9">
        <f>BD55</f>
        <v>623855</v>
      </c>
      <c r="BF54" s="9">
        <f>BE55</f>
        <v>697778</v>
      </c>
      <c r="BG54" s="9">
        <f>BF55</f>
        <v>808111</v>
      </c>
      <c r="BH54" s="9">
        <f>BG55</f>
        <v>880267</v>
      </c>
      <c r="BI54" s="59">
        <f>BD55</f>
        <v>623855</v>
      </c>
      <c r="BJ54" s="9">
        <f>BI55</f>
        <v>909900</v>
      </c>
      <c r="BK54" s="9">
        <f>BJ55</f>
        <v>969123</v>
      </c>
      <c r="BL54" s="9">
        <f>BK55</f>
        <v>816792</v>
      </c>
      <c r="BM54" s="9">
        <f>BL55</f>
        <v>647606</v>
      </c>
      <c r="BN54" s="59">
        <f>BI55</f>
        <v>909900</v>
      </c>
      <c r="BO54" s="9">
        <f>BN55</f>
        <v>544358</v>
      </c>
      <c r="BP54" s="9">
        <f>BO55</f>
        <v>551804</v>
      </c>
      <c r="BQ54" s="9">
        <f>BP55</f>
        <v>532977</v>
      </c>
      <c r="BR54" s="9">
        <f>BQ55</f>
        <v>583118</v>
      </c>
      <c r="BS54" s="59">
        <f>BN55</f>
        <v>544358</v>
      </c>
      <c r="BT54" s="9">
        <f>BS55</f>
        <v>682984</v>
      </c>
      <c r="BU54" s="9">
        <f t="shared" ref="BU54:BW54" si="104">BT55</f>
        <v>572341</v>
      </c>
      <c r="BV54" s="9">
        <f t="shared" si="104"/>
        <v>750042</v>
      </c>
      <c r="BW54" s="9">
        <f t="shared" si="104"/>
        <v>766050</v>
      </c>
      <c r="BX54" s="59">
        <f>BS55</f>
        <v>682984</v>
      </c>
      <c r="BY54" s="9">
        <f>BX55</f>
        <v>878553</v>
      </c>
      <c r="BZ54" s="9">
        <f t="shared" ref="BZ54:CB54" si="105">BY55</f>
        <v>896741</v>
      </c>
      <c r="CA54" s="9">
        <f t="shared" si="105"/>
        <v>754199</v>
      </c>
      <c r="CB54" s="9">
        <f t="shared" si="105"/>
        <v>794904</v>
      </c>
      <c r="CC54" s="59">
        <f>BX55</f>
        <v>878553</v>
      </c>
      <c r="CD54" s="9">
        <f>CC55</f>
        <v>709105</v>
      </c>
      <c r="CE54" s="9">
        <f>CD55</f>
        <v>642517</v>
      </c>
      <c r="CF54" s="9">
        <f>CE55</f>
        <v>771788</v>
      </c>
      <c r="CG54" s="9">
        <f>CF55</f>
        <v>869274</v>
      </c>
      <c r="CH54" s="59">
        <f>CC55</f>
        <v>709105</v>
      </c>
      <c r="CI54" s="9">
        <f>CH55</f>
        <v>698209</v>
      </c>
      <c r="CJ54" s="9">
        <f>CI55</f>
        <v>521137</v>
      </c>
      <c r="CK54" s="9">
        <f>CJ55</f>
        <v>573071</v>
      </c>
      <c r="CL54" s="9">
        <f>CK55</f>
        <v>528284</v>
      </c>
      <c r="CM54" s="59">
        <f>CH55</f>
        <v>698209</v>
      </c>
      <c r="CN54" s="9">
        <f>CM55</f>
        <v>514674</v>
      </c>
      <c r="CO54" s="9">
        <f>CN55</f>
        <v>496452</v>
      </c>
      <c r="CP54" s="9"/>
      <c r="CQ54" s="9"/>
      <c r="CR54" s="59">
        <f>CM55</f>
        <v>514674</v>
      </c>
    </row>
    <row r="55" spans="1:96" s="2" customFormat="1" ht="11.15" customHeight="1" x14ac:dyDescent="0.25">
      <c r="A55" s="6" t="s">
        <v>204</v>
      </c>
      <c r="B55" s="12">
        <f t="shared" ref="B55:F55" si="106">SUM(B53:B54)</f>
        <v>10853</v>
      </c>
      <c r="C55" s="12">
        <f t="shared" si="106"/>
        <v>11282</v>
      </c>
      <c r="D55" s="12">
        <f t="shared" si="106"/>
        <v>11357</v>
      </c>
      <c r="E55" s="12">
        <f t="shared" si="106"/>
        <v>75667</v>
      </c>
      <c r="F55" s="60">
        <f t="shared" si="106"/>
        <v>75667</v>
      </c>
      <c r="G55" s="12">
        <f t="shared" ref="G55:K55" si="107">SUM(G53:G54)</f>
        <v>49129</v>
      </c>
      <c r="H55" s="12">
        <f t="shared" si="107"/>
        <v>46709</v>
      </c>
      <c r="I55" s="12">
        <f t="shared" si="107"/>
        <v>44750</v>
      </c>
      <c r="J55" s="12">
        <f t="shared" si="107"/>
        <v>37972</v>
      </c>
      <c r="K55" s="60">
        <f t="shared" si="107"/>
        <v>37972</v>
      </c>
      <c r="L55" s="12">
        <f t="shared" ref="L55:P55" si="108">SUM(L53:L54)</f>
        <v>38698</v>
      </c>
      <c r="M55" s="12">
        <f t="shared" si="108"/>
        <v>44926</v>
      </c>
      <c r="N55" s="12">
        <f t="shared" si="108"/>
        <v>44339</v>
      </c>
      <c r="O55" s="12">
        <f t="shared" si="108"/>
        <v>51283</v>
      </c>
      <c r="P55" s="60">
        <f t="shared" si="108"/>
        <v>51283</v>
      </c>
      <c r="Q55" s="12">
        <f t="shared" ref="Q55:U55" si="109">SUM(Q53:Q54)</f>
        <v>71601</v>
      </c>
      <c r="R55" s="12">
        <f t="shared" si="109"/>
        <v>78068</v>
      </c>
      <c r="S55" s="12">
        <f t="shared" si="109"/>
        <v>76309</v>
      </c>
      <c r="T55" s="12">
        <f t="shared" si="109"/>
        <v>82920</v>
      </c>
      <c r="U55" s="60">
        <f t="shared" si="109"/>
        <v>82920</v>
      </c>
      <c r="V55" s="12">
        <f t="shared" ref="V55:Z55" si="110">SUM(V53:V54)</f>
        <v>84407</v>
      </c>
      <c r="W55" s="12">
        <f t="shared" si="110"/>
        <v>90655</v>
      </c>
      <c r="X55" s="12">
        <f t="shared" si="110"/>
        <v>96630</v>
      </c>
      <c r="Y55" s="12">
        <f t="shared" si="110"/>
        <v>147860</v>
      </c>
      <c r="Z55" s="60">
        <f t="shared" si="110"/>
        <v>147860</v>
      </c>
      <c r="AA55" s="12">
        <f t="shared" ref="AA55:AE55" si="111">SUM(AA53:AA54)</f>
        <v>160618</v>
      </c>
      <c r="AB55" s="12">
        <f t="shared" si="111"/>
        <v>188196</v>
      </c>
      <c r="AC55" s="12">
        <f t="shared" si="111"/>
        <v>196586</v>
      </c>
      <c r="AD55" s="12">
        <f t="shared" si="111"/>
        <v>180234</v>
      </c>
      <c r="AE55" s="60">
        <f t="shared" si="111"/>
        <v>180234</v>
      </c>
      <c r="AF55" s="12">
        <f t="shared" ref="AF55:AJ55" si="112">SUM(AF53:AF54)</f>
        <v>377071</v>
      </c>
      <c r="AG55" s="12">
        <f t="shared" si="112"/>
        <v>345578</v>
      </c>
      <c r="AH55" s="12">
        <f t="shared" si="112"/>
        <v>372569</v>
      </c>
      <c r="AI55" s="12">
        <f t="shared" si="112"/>
        <v>384053</v>
      </c>
      <c r="AJ55" s="60">
        <f t="shared" si="112"/>
        <v>384053</v>
      </c>
      <c r="AK55" s="12">
        <f t="shared" ref="AK55:AO55" si="113">SUM(AK53:AK54)</f>
        <v>355715</v>
      </c>
      <c r="AL55" s="12">
        <f t="shared" si="113"/>
        <v>369484</v>
      </c>
      <c r="AM55" s="12">
        <f t="shared" si="113"/>
        <v>398355</v>
      </c>
      <c r="AN55" s="12">
        <f t="shared" si="113"/>
        <v>448776</v>
      </c>
      <c r="AO55" s="60">
        <f t="shared" si="113"/>
        <v>448776</v>
      </c>
      <c r="AP55" s="12">
        <f t="shared" ref="AP55:AT55" si="114">SUM(AP53:AP54)</f>
        <v>480609</v>
      </c>
      <c r="AQ55" s="12">
        <f t="shared" si="114"/>
        <v>483432</v>
      </c>
      <c r="AR55" s="12">
        <f t="shared" si="114"/>
        <v>487518</v>
      </c>
      <c r="AS55" s="12">
        <f t="shared" si="114"/>
        <v>522150</v>
      </c>
      <c r="AT55" s="60">
        <f t="shared" si="114"/>
        <v>522150</v>
      </c>
      <c r="AU55" s="12">
        <f t="shared" ref="AU55:AY55" si="115">SUM(AU53:AU54)</f>
        <v>541474</v>
      </c>
      <c r="AV55" s="12">
        <f t="shared" si="115"/>
        <v>571508</v>
      </c>
      <c r="AW55" s="12">
        <f t="shared" si="115"/>
        <v>651220</v>
      </c>
      <c r="AX55" s="12">
        <f t="shared" si="115"/>
        <v>582532</v>
      </c>
      <c r="AY55" s="60">
        <f t="shared" si="115"/>
        <v>582532</v>
      </c>
      <c r="AZ55" s="12">
        <f t="shared" ref="AZ55:BD55" si="116">SUM(AZ53:AZ54)</f>
        <v>613692</v>
      </c>
      <c r="BA55" s="12">
        <f t="shared" ref="BA55:BB55" si="117">SUM(BA53:BA54)</f>
        <v>587286</v>
      </c>
      <c r="BB55" s="12">
        <f t="shared" si="117"/>
        <v>645558</v>
      </c>
      <c r="BC55" s="12">
        <f t="shared" si="116"/>
        <v>623855</v>
      </c>
      <c r="BD55" s="60">
        <f t="shared" si="116"/>
        <v>623855</v>
      </c>
      <c r="BE55" s="12">
        <f t="shared" ref="BE55:BF55" si="118">SUM(BE53:BE54)</f>
        <v>697778</v>
      </c>
      <c r="BF55" s="12">
        <f t="shared" si="118"/>
        <v>808111</v>
      </c>
      <c r="BG55" s="12">
        <f t="shared" ref="BG55:BK55" si="119">SUM(BG53:BG54)</f>
        <v>880267</v>
      </c>
      <c r="BH55" s="12">
        <f t="shared" si="119"/>
        <v>909900</v>
      </c>
      <c r="BI55" s="60">
        <f t="shared" si="119"/>
        <v>909900</v>
      </c>
      <c r="BJ55" s="12">
        <f t="shared" si="119"/>
        <v>969123</v>
      </c>
      <c r="BK55" s="12">
        <f t="shared" si="119"/>
        <v>816792</v>
      </c>
      <c r="BL55" s="12">
        <f t="shared" ref="BL55:BM55" si="120">SUM(BL53:BL54)</f>
        <v>647606</v>
      </c>
      <c r="BM55" s="12">
        <f t="shared" si="120"/>
        <v>544358</v>
      </c>
      <c r="BN55" s="60">
        <f t="shared" ref="BN55:BP55" si="121">SUM(BN53:BN54)</f>
        <v>544358</v>
      </c>
      <c r="BO55" s="12">
        <f t="shared" si="121"/>
        <v>551804</v>
      </c>
      <c r="BP55" s="12">
        <f t="shared" si="121"/>
        <v>532977</v>
      </c>
      <c r="BQ55" s="12">
        <f t="shared" ref="BQ55:BT55" si="122">SUM(BQ53:BQ54)</f>
        <v>583118</v>
      </c>
      <c r="BR55" s="12">
        <f t="shared" si="122"/>
        <v>682984</v>
      </c>
      <c r="BS55" s="60">
        <f t="shared" si="122"/>
        <v>682984</v>
      </c>
      <c r="BT55" s="12">
        <f t="shared" si="122"/>
        <v>572341</v>
      </c>
      <c r="BU55" s="12">
        <f>SUM(BU53:BU54)</f>
        <v>750042</v>
      </c>
      <c r="BV55" s="12">
        <f>SUM(BV53:BV54)</f>
        <v>766050</v>
      </c>
      <c r="BW55" s="12">
        <f>SUM(BW53:BW54)</f>
        <v>878553</v>
      </c>
      <c r="BX55" s="60">
        <f t="shared" ref="BX55:BY55" si="123">SUM(BX53:BX54)</f>
        <v>878553</v>
      </c>
      <c r="BY55" s="12">
        <f t="shared" si="123"/>
        <v>896741</v>
      </c>
      <c r="BZ55" s="12">
        <f>SUM(BZ53:BZ54)</f>
        <v>754199</v>
      </c>
      <c r="CA55" s="12">
        <f>SUM(CA53:CA54)</f>
        <v>794904</v>
      </c>
      <c r="CB55" s="12">
        <f>SUM(CB53:CB54)</f>
        <v>709105</v>
      </c>
      <c r="CC55" s="60">
        <f t="shared" ref="CC55:CD55" si="124">SUM(CC53:CC54)</f>
        <v>709105</v>
      </c>
      <c r="CD55" s="12">
        <f t="shared" si="124"/>
        <v>642517</v>
      </c>
      <c r="CE55" s="12">
        <f t="shared" ref="CE55" si="125">SUM(CE53:CE54)</f>
        <v>771788</v>
      </c>
      <c r="CF55" s="12">
        <f>SUM(CF53:CF54)</f>
        <v>869274</v>
      </c>
      <c r="CG55" s="12">
        <f>SUM(CG53:CG54)</f>
        <v>698209</v>
      </c>
      <c r="CH55" s="60">
        <f t="shared" ref="CH55:CJ55" si="126">SUM(CH53:CH54)</f>
        <v>698209</v>
      </c>
      <c r="CI55" s="12">
        <f t="shared" si="126"/>
        <v>521137</v>
      </c>
      <c r="CJ55" s="12">
        <f t="shared" si="126"/>
        <v>573071</v>
      </c>
      <c r="CK55" s="12">
        <f t="shared" ref="CK55:CL55" si="127">SUM(CK53:CK54)</f>
        <v>528284</v>
      </c>
      <c r="CL55" s="12">
        <f t="shared" si="127"/>
        <v>514674</v>
      </c>
      <c r="CM55" s="60">
        <f t="shared" ref="CM55:CO55" si="128">SUM(CM53:CM54)</f>
        <v>514674</v>
      </c>
      <c r="CN55" s="12">
        <f t="shared" si="128"/>
        <v>496452</v>
      </c>
      <c r="CO55" s="12">
        <f t="shared" si="128"/>
        <v>720540</v>
      </c>
      <c r="CP55" s="12"/>
      <c r="CQ55" s="12"/>
      <c r="CR55" s="60">
        <f t="shared" ref="CR55" si="129">SUM(CR53:CR54)</f>
        <v>720540</v>
      </c>
    </row>
    <row r="56" spans="1:96" s="2" customFormat="1" ht="11.15" customHeight="1" x14ac:dyDescent="0.25">
      <c r="A56" s="6" t="s">
        <v>216</v>
      </c>
      <c r="B56" s="11">
        <v>0</v>
      </c>
      <c r="C56" s="11">
        <v>0</v>
      </c>
      <c r="D56" s="11">
        <v>0</v>
      </c>
      <c r="E56" s="11">
        <v>0</v>
      </c>
      <c r="F56" s="61">
        <f>E56</f>
        <v>0</v>
      </c>
      <c r="G56" s="11">
        <v>0</v>
      </c>
      <c r="H56" s="11">
        <v>0</v>
      </c>
      <c r="I56" s="11">
        <v>0</v>
      </c>
      <c r="J56" s="11">
        <v>0</v>
      </c>
      <c r="K56" s="61">
        <f>J56</f>
        <v>0</v>
      </c>
      <c r="L56" s="11">
        <v>0</v>
      </c>
      <c r="M56" s="11">
        <v>0</v>
      </c>
      <c r="N56" s="11">
        <v>0</v>
      </c>
      <c r="O56" s="11">
        <v>0</v>
      </c>
      <c r="P56" s="61">
        <f>O56</f>
        <v>0</v>
      </c>
      <c r="Q56" s="11">
        <v>0</v>
      </c>
      <c r="R56" s="11">
        <v>0</v>
      </c>
      <c r="S56" s="11">
        <v>0</v>
      </c>
      <c r="T56" s="11">
        <v>0</v>
      </c>
      <c r="U56" s="61">
        <f>T56</f>
        <v>0</v>
      </c>
      <c r="V56" s="11">
        <v>0</v>
      </c>
      <c r="W56" s="11">
        <v>0</v>
      </c>
      <c r="X56" s="11">
        <v>0</v>
      </c>
      <c r="Y56" s="11">
        <v>0</v>
      </c>
      <c r="Z56" s="61">
        <f>Y56</f>
        <v>0</v>
      </c>
      <c r="AA56" s="11">
        <v>0</v>
      </c>
      <c r="AB56" s="11">
        <v>0</v>
      </c>
      <c r="AC56" s="11">
        <v>0</v>
      </c>
      <c r="AD56" s="11">
        <v>0</v>
      </c>
      <c r="AE56" s="61">
        <f>AD56</f>
        <v>0</v>
      </c>
      <c r="AF56" s="11">
        <v>0</v>
      </c>
      <c r="AG56" s="11">
        <v>0</v>
      </c>
      <c r="AH56" s="11">
        <v>0</v>
      </c>
      <c r="AI56" s="11">
        <v>0</v>
      </c>
      <c r="AJ56" s="61">
        <f>AI56</f>
        <v>0</v>
      </c>
      <c r="AK56" s="11">
        <v>0</v>
      </c>
      <c r="AL56" s="11">
        <v>0</v>
      </c>
      <c r="AM56" s="11">
        <v>0</v>
      </c>
      <c r="AN56" s="11">
        <v>0</v>
      </c>
      <c r="AO56" s="61">
        <f>AN56</f>
        <v>0</v>
      </c>
      <c r="AP56" s="11">
        <v>0</v>
      </c>
      <c r="AQ56" s="11">
        <v>0</v>
      </c>
      <c r="AR56" s="11">
        <v>0</v>
      </c>
      <c r="AS56" s="11">
        <v>0</v>
      </c>
      <c r="AT56" s="61">
        <f>AS56</f>
        <v>0</v>
      </c>
      <c r="AU56" s="11">
        <v>0</v>
      </c>
      <c r="AV56" s="11">
        <v>0</v>
      </c>
      <c r="AW56" s="11">
        <v>0</v>
      </c>
      <c r="AX56" s="11">
        <v>0</v>
      </c>
      <c r="AY56" s="61">
        <f>AX56</f>
        <v>0</v>
      </c>
      <c r="AZ56" s="11">
        <v>0</v>
      </c>
      <c r="BA56" s="11">
        <v>0</v>
      </c>
      <c r="BB56" s="11">
        <v>0</v>
      </c>
      <c r="BC56" s="11">
        <v>0</v>
      </c>
      <c r="BD56" s="61">
        <f>BC56</f>
        <v>0</v>
      </c>
      <c r="BE56" s="11">
        <v>0</v>
      </c>
      <c r="BF56" s="11">
        <v>0</v>
      </c>
      <c r="BG56" s="11">
        <v>0</v>
      </c>
      <c r="BH56" s="11">
        <v>0</v>
      </c>
      <c r="BI56" s="61">
        <f>BH56</f>
        <v>0</v>
      </c>
      <c r="BJ56" s="11">
        <v>0</v>
      </c>
      <c r="BK56" s="11">
        <v>0</v>
      </c>
      <c r="BL56" s="11">
        <v>0</v>
      </c>
      <c r="BM56" s="11">
        <v>0</v>
      </c>
      <c r="BN56" s="61">
        <f>BM56</f>
        <v>0</v>
      </c>
      <c r="BO56" s="11">
        <f>'Cash Flows Cumulative'!BO56</f>
        <v>2866</v>
      </c>
      <c r="BP56" s="11">
        <f>'Cash Flows Cumulative'!BP56</f>
        <v>2964</v>
      </c>
      <c r="BQ56" s="11">
        <f>'Cash Flows Cumulative'!BQ56</f>
        <v>2789</v>
      </c>
      <c r="BR56" s="11">
        <v>0</v>
      </c>
      <c r="BS56" s="61">
        <f>BR56</f>
        <v>0</v>
      </c>
      <c r="BT56" s="11">
        <f>'Cash Flows Cumulative'!BT56</f>
        <v>2283</v>
      </c>
      <c r="BU56" s="11">
        <f>'Cash Flows Cumulative'!BU56</f>
        <v>2183</v>
      </c>
      <c r="BV56" s="11">
        <f>'Cash Flows Cumulative'!BV56</f>
        <v>2130</v>
      </c>
      <c r="BW56" s="11">
        <f>'Cash Flows Cumulative'!BW56</f>
        <v>2322</v>
      </c>
      <c r="BX56" s="61">
        <f>BW56</f>
        <v>2322</v>
      </c>
      <c r="BY56" s="11">
        <f>'Cash Flows Cumulative'!BY56</f>
        <v>0</v>
      </c>
      <c r="BZ56" s="11">
        <f>'Cash Flows Cumulative'!BZ56</f>
        <v>0</v>
      </c>
      <c r="CA56" s="11">
        <f>'Cash Flows Cumulative'!CA56</f>
        <v>0</v>
      </c>
      <c r="CB56" s="11">
        <f>'Cash Flows Cumulative'!CB56</f>
        <v>0</v>
      </c>
      <c r="CC56" s="61">
        <f>CB56</f>
        <v>0</v>
      </c>
      <c r="CD56" s="11">
        <f>'Cash Flows Cumulative'!CD56</f>
        <v>0</v>
      </c>
      <c r="CE56" s="103">
        <f>'Cash Flows Cumulative'!CE56-'Cash Flows Cumulative'!CD56</f>
        <v>0</v>
      </c>
      <c r="CF56" s="103">
        <f>'Cash Flows Cumulative'!CF56-'Cash Flows Cumulative'!CE56</f>
        <v>0</v>
      </c>
      <c r="CG56" s="103">
        <f>'Cash Flows Cumulative'!CG56-'Cash Flows Cumulative'!CF56</f>
        <v>0</v>
      </c>
      <c r="CH56" s="61">
        <f>CG56</f>
        <v>0</v>
      </c>
      <c r="CI56" s="11">
        <f>'Cash Flows Cumulative'!CI56</f>
        <v>0</v>
      </c>
      <c r="CJ56" s="11">
        <f>'Cash Flows Cumulative'!CJ56-'Cash Flows Cumulative'!CI56</f>
        <v>0</v>
      </c>
      <c r="CK56" s="11">
        <f>'Cash Flows Cumulative'!CK56-'Cash Flows Cumulative'!CJ56</f>
        <v>0</v>
      </c>
      <c r="CL56" s="11">
        <f>'Cash Flows Cumulative'!CL56-'Cash Flows Cumulative'!CK56</f>
        <v>0</v>
      </c>
      <c r="CM56" s="61">
        <f>CL56</f>
        <v>0</v>
      </c>
      <c r="CN56" s="11">
        <f>'Cash Flows Cumulative'!CN56</f>
        <v>0</v>
      </c>
      <c r="CO56" s="11">
        <f>'Cash Flows Cumulative'!CO56-'Cash Flows Cumulative'!CN56</f>
        <v>0</v>
      </c>
      <c r="CP56" s="11"/>
      <c r="CQ56" s="11"/>
      <c r="CR56" s="61">
        <f>CQ56</f>
        <v>0</v>
      </c>
    </row>
    <row r="57" spans="1:96" s="110" customFormat="1" ht="11.15" customHeight="1" thickBot="1" x14ac:dyDescent="0.3">
      <c r="A57" s="106" t="s">
        <v>207</v>
      </c>
      <c r="B57" s="107">
        <f>B55-B56</f>
        <v>10853</v>
      </c>
      <c r="C57" s="108">
        <f>C55-C56</f>
        <v>11282</v>
      </c>
      <c r="D57" s="108">
        <f t="shared" ref="D57:F57" si="130">D55-D56</f>
        <v>11357</v>
      </c>
      <c r="E57" s="109">
        <f t="shared" si="130"/>
        <v>75667</v>
      </c>
      <c r="F57" s="92">
        <f t="shared" si="130"/>
        <v>75667</v>
      </c>
      <c r="G57" s="107">
        <f>G55-G56</f>
        <v>49129</v>
      </c>
      <c r="H57" s="108">
        <f>H55-H56</f>
        <v>46709</v>
      </c>
      <c r="I57" s="108">
        <f t="shared" ref="I57:K57" si="131">I55-I56</f>
        <v>44750</v>
      </c>
      <c r="J57" s="109">
        <f t="shared" si="131"/>
        <v>37972</v>
      </c>
      <c r="K57" s="92">
        <f t="shared" si="131"/>
        <v>37972</v>
      </c>
      <c r="L57" s="107">
        <f>L55-L56</f>
        <v>38698</v>
      </c>
      <c r="M57" s="108">
        <f>M55-M56</f>
        <v>44926</v>
      </c>
      <c r="N57" s="108">
        <f t="shared" ref="N57:P57" si="132">N55-N56</f>
        <v>44339</v>
      </c>
      <c r="O57" s="109">
        <f t="shared" si="132"/>
        <v>51283</v>
      </c>
      <c r="P57" s="92">
        <f t="shared" si="132"/>
        <v>51283</v>
      </c>
      <c r="Q57" s="107">
        <f>Q55-Q56</f>
        <v>71601</v>
      </c>
      <c r="R57" s="108">
        <f>R55-R56</f>
        <v>78068</v>
      </c>
      <c r="S57" s="108">
        <f t="shared" ref="S57:U57" si="133">S55-S56</f>
        <v>76309</v>
      </c>
      <c r="T57" s="109">
        <f t="shared" si="133"/>
        <v>82920</v>
      </c>
      <c r="U57" s="92">
        <f t="shared" si="133"/>
        <v>82920</v>
      </c>
      <c r="V57" s="107">
        <f>V55-V56</f>
        <v>84407</v>
      </c>
      <c r="W57" s="108">
        <f>W55-W56</f>
        <v>90655</v>
      </c>
      <c r="X57" s="108">
        <f t="shared" ref="X57:Z57" si="134">X55-X56</f>
        <v>96630</v>
      </c>
      <c r="Y57" s="109">
        <f t="shared" si="134"/>
        <v>147860</v>
      </c>
      <c r="Z57" s="92">
        <f t="shared" si="134"/>
        <v>147860</v>
      </c>
      <c r="AA57" s="107">
        <f>AA55-AA56</f>
        <v>160618</v>
      </c>
      <c r="AB57" s="108">
        <f>AB55-AB56</f>
        <v>188196</v>
      </c>
      <c r="AC57" s="108">
        <f t="shared" ref="AC57:AE57" si="135">AC55-AC56</f>
        <v>196586</v>
      </c>
      <c r="AD57" s="109">
        <f t="shared" si="135"/>
        <v>180234</v>
      </c>
      <c r="AE57" s="92">
        <f t="shared" si="135"/>
        <v>180234</v>
      </c>
      <c r="AF57" s="107">
        <f>AF55-AF56</f>
        <v>377071</v>
      </c>
      <c r="AG57" s="108">
        <f>AG55-AG56</f>
        <v>345578</v>
      </c>
      <c r="AH57" s="108">
        <f t="shared" ref="AH57:AJ57" si="136">AH55-AH56</f>
        <v>372569</v>
      </c>
      <c r="AI57" s="109">
        <f t="shared" si="136"/>
        <v>384053</v>
      </c>
      <c r="AJ57" s="92">
        <f t="shared" si="136"/>
        <v>384053</v>
      </c>
      <c r="AK57" s="107">
        <f>AK55-AK56</f>
        <v>355715</v>
      </c>
      <c r="AL57" s="108">
        <f>AL55-AL56</f>
        <v>369484</v>
      </c>
      <c r="AM57" s="108">
        <f t="shared" ref="AM57:AO57" si="137">AM55-AM56</f>
        <v>398355</v>
      </c>
      <c r="AN57" s="109">
        <f t="shared" si="137"/>
        <v>448776</v>
      </c>
      <c r="AO57" s="92">
        <f t="shared" si="137"/>
        <v>448776</v>
      </c>
      <c r="AP57" s="107">
        <f>AP55-AP56</f>
        <v>480609</v>
      </c>
      <c r="AQ57" s="108">
        <f>AQ55-AQ56</f>
        <v>483432</v>
      </c>
      <c r="AR57" s="108">
        <f t="shared" ref="AR57:AT57" si="138">AR55-AR56</f>
        <v>487518</v>
      </c>
      <c r="AS57" s="109">
        <f t="shared" si="138"/>
        <v>522150</v>
      </c>
      <c r="AT57" s="92">
        <f t="shared" si="138"/>
        <v>522150</v>
      </c>
      <c r="AU57" s="107">
        <f>AU55-AU56</f>
        <v>541474</v>
      </c>
      <c r="AV57" s="108">
        <f>AV55-AV56</f>
        <v>571508</v>
      </c>
      <c r="AW57" s="108">
        <f t="shared" ref="AW57:AY57" si="139">AW55-AW56</f>
        <v>651220</v>
      </c>
      <c r="AX57" s="109">
        <f t="shared" si="139"/>
        <v>582532</v>
      </c>
      <c r="AY57" s="92">
        <f t="shared" si="139"/>
        <v>582532</v>
      </c>
      <c r="AZ57" s="107">
        <f>AZ55-AZ56</f>
        <v>613692</v>
      </c>
      <c r="BA57" s="108">
        <f>BA55-BA56</f>
        <v>587286</v>
      </c>
      <c r="BB57" s="108">
        <f t="shared" ref="BB57:BD57" si="140">BB55-BB56</f>
        <v>645558</v>
      </c>
      <c r="BC57" s="109">
        <f t="shared" si="140"/>
        <v>623855</v>
      </c>
      <c r="BD57" s="92">
        <f t="shared" si="140"/>
        <v>623855</v>
      </c>
      <c r="BE57" s="107">
        <f>BE55-BE56</f>
        <v>697778</v>
      </c>
      <c r="BF57" s="108">
        <f>BF55-BF56</f>
        <v>808111</v>
      </c>
      <c r="BG57" s="108">
        <f t="shared" ref="BG57:BI57" si="141">BG55-BG56</f>
        <v>880267</v>
      </c>
      <c r="BH57" s="109">
        <f t="shared" si="141"/>
        <v>909900</v>
      </c>
      <c r="BI57" s="92">
        <f t="shared" si="141"/>
        <v>909900</v>
      </c>
      <c r="BJ57" s="107">
        <f>BJ55-BJ56</f>
        <v>969123</v>
      </c>
      <c r="BK57" s="108">
        <f>BK55-BK56</f>
        <v>816792</v>
      </c>
      <c r="BL57" s="108">
        <f t="shared" ref="BL57:BN57" si="142">BL55-BL56</f>
        <v>647606</v>
      </c>
      <c r="BM57" s="109">
        <f t="shared" si="142"/>
        <v>544358</v>
      </c>
      <c r="BN57" s="92">
        <f t="shared" si="142"/>
        <v>544358</v>
      </c>
      <c r="BO57" s="107">
        <f>BO55-BO56</f>
        <v>548938</v>
      </c>
      <c r="BP57" s="108">
        <f>BP55-BP56</f>
        <v>530013</v>
      </c>
      <c r="BQ57" s="108">
        <f>BQ55-BQ56</f>
        <v>580329</v>
      </c>
      <c r="BR57" s="109">
        <f t="shared" ref="BR57:BS57" si="143">BR55-BR56</f>
        <v>682984</v>
      </c>
      <c r="BS57" s="92">
        <f t="shared" si="143"/>
        <v>682984</v>
      </c>
      <c r="BT57" s="107">
        <f>BT55-BT56</f>
        <v>570058</v>
      </c>
      <c r="BU57" s="108">
        <f>BU55-BU56</f>
        <v>747859</v>
      </c>
      <c r="BV57" s="108">
        <f>BV55-BV56</f>
        <v>763920</v>
      </c>
      <c r="BW57" s="108">
        <f>BW55-BW56</f>
        <v>876231</v>
      </c>
      <c r="BX57" s="92">
        <f t="shared" ref="BX57" si="144">BX55-BX56</f>
        <v>876231</v>
      </c>
      <c r="BY57" s="107">
        <f>BY55-BY56</f>
        <v>896741</v>
      </c>
      <c r="BZ57" s="108">
        <f>BZ55-BZ56</f>
        <v>754199</v>
      </c>
      <c r="CA57" s="108">
        <f>CA55-CA56</f>
        <v>794904</v>
      </c>
      <c r="CB57" s="108">
        <f>CB55-CB56</f>
        <v>709105</v>
      </c>
      <c r="CC57" s="92">
        <f t="shared" ref="CC57" si="145">CC55-CC56</f>
        <v>709105</v>
      </c>
      <c r="CD57" s="107">
        <f>CD55-CD56</f>
        <v>642517</v>
      </c>
      <c r="CE57" s="111">
        <f>CE55-CE56</f>
        <v>771788</v>
      </c>
      <c r="CF57" s="111">
        <f>CF55-CF56</f>
        <v>869274</v>
      </c>
      <c r="CG57" s="111">
        <f>CG55-CG56</f>
        <v>698209</v>
      </c>
      <c r="CH57" s="92">
        <f t="shared" ref="CH57" si="146">CH55-CH56</f>
        <v>698209</v>
      </c>
      <c r="CI57" s="107">
        <f>CI55-CI56</f>
        <v>521137</v>
      </c>
      <c r="CJ57" s="111">
        <f>CJ55-CJ56</f>
        <v>573071</v>
      </c>
      <c r="CK57" s="111">
        <f>CK55-CK56</f>
        <v>528284</v>
      </c>
      <c r="CL57" s="111">
        <f>CL55-CL56</f>
        <v>514674</v>
      </c>
      <c r="CM57" s="92">
        <f t="shared" ref="CM57" si="147">CM55-CM56</f>
        <v>514674</v>
      </c>
      <c r="CN57" s="107">
        <f>CN55-CN56</f>
        <v>496452</v>
      </c>
      <c r="CO57" s="111">
        <f>CO55-CO56</f>
        <v>720540</v>
      </c>
      <c r="CP57" s="111"/>
      <c r="CQ57" s="111"/>
      <c r="CR57" s="92">
        <f t="shared" ref="CR57" si="148">CR55-CR56</f>
        <v>720540</v>
      </c>
    </row>
    <row r="58" spans="1:96" s="2" customFormat="1" ht="11.15" customHeight="1" thickTop="1" x14ac:dyDescent="0.25">
      <c r="A58" s="6"/>
      <c r="B58" s="11">
        <f>B55-'Cash Flows Cumulative'!B55</f>
        <v>0</v>
      </c>
      <c r="C58" s="11">
        <f>C55-'Cash Flows Cumulative'!C55</f>
        <v>0</v>
      </c>
      <c r="D58" s="11">
        <f>D55-'Cash Flows Cumulative'!D55</f>
        <v>0</v>
      </c>
      <c r="E58" s="11">
        <f>E55-'Cash Flows Cumulative'!E55</f>
        <v>0</v>
      </c>
      <c r="F58" s="61">
        <f>F55-'Cash Flows Cumulative'!F55</f>
        <v>0</v>
      </c>
      <c r="G58" s="11">
        <f>G55-'Cash Flows Cumulative'!G55</f>
        <v>0</v>
      </c>
      <c r="H58" s="11">
        <f>H55-'Cash Flows Cumulative'!H55</f>
        <v>0</v>
      </c>
      <c r="I58" s="11">
        <f>I55-'Cash Flows Cumulative'!I55</f>
        <v>0</v>
      </c>
      <c r="J58" s="11">
        <f>J55-'Cash Flows Cumulative'!J55</f>
        <v>0</v>
      </c>
      <c r="K58" s="61">
        <f>K55-'Cash Flows Cumulative'!K55</f>
        <v>0</v>
      </c>
      <c r="L58" s="11">
        <f>L55-'Cash Flows Cumulative'!L55</f>
        <v>0</v>
      </c>
      <c r="M58" s="11">
        <f>M55-'Cash Flows Cumulative'!M55</f>
        <v>0</v>
      </c>
      <c r="N58" s="11">
        <f>N55-'Cash Flows Cumulative'!N55</f>
        <v>0</v>
      </c>
      <c r="O58" s="11">
        <f>O55-'Cash Flows Cumulative'!O55</f>
        <v>0</v>
      </c>
      <c r="P58" s="61">
        <f>P55-'Cash Flows Cumulative'!P55</f>
        <v>0</v>
      </c>
      <c r="Q58" s="11">
        <f>Q55-'Cash Flows Cumulative'!Q55</f>
        <v>0</v>
      </c>
      <c r="R58" s="11">
        <f>R55-'Cash Flows Cumulative'!R55</f>
        <v>0</v>
      </c>
      <c r="S58" s="11">
        <f>S55-'Cash Flows Cumulative'!S55</f>
        <v>0</v>
      </c>
      <c r="T58" s="11">
        <f>T55-'Cash Flows Cumulative'!T55</f>
        <v>0</v>
      </c>
      <c r="U58" s="61">
        <f>U55-'Cash Flows Cumulative'!U55</f>
        <v>0</v>
      </c>
      <c r="V58" s="11">
        <f>V55-'Cash Flows Cumulative'!V55</f>
        <v>0</v>
      </c>
      <c r="W58" s="11">
        <f>W55-'Cash Flows Cumulative'!W55</f>
        <v>0</v>
      </c>
      <c r="X58" s="11">
        <f>X55-'Cash Flows Cumulative'!X55</f>
        <v>0</v>
      </c>
      <c r="Y58" s="11">
        <f>Y55-'Cash Flows Cumulative'!Y55</f>
        <v>0</v>
      </c>
      <c r="Z58" s="61">
        <f>Z55-'Cash Flows Cumulative'!Z55</f>
        <v>0</v>
      </c>
      <c r="AA58" s="11">
        <f>AA55-'Cash Flows Cumulative'!AA55</f>
        <v>0</v>
      </c>
      <c r="AB58" s="11">
        <f>AB55-'Cash Flows Cumulative'!AB55</f>
        <v>0</v>
      </c>
      <c r="AC58" s="11">
        <f>AC55-'Cash Flows Cumulative'!AC55</f>
        <v>0</v>
      </c>
      <c r="AD58" s="11">
        <f>AD55-'Cash Flows Cumulative'!AD55</f>
        <v>0</v>
      </c>
      <c r="AE58" s="61">
        <f>AE55-'Cash Flows Cumulative'!AE55</f>
        <v>0</v>
      </c>
      <c r="AF58" s="11">
        <f>AF55-'Cash Flows Cumulative'!AF55</f>
        <v>0</v>
      </c>
      <c r="AG58" s="11">
        <f>AG55-'Cash Flows Cumulative'!AG55</f>
        <v>0</v>
      </c>
      <c r="AH58" s="11">
        <f>AH55-'Cash Flows Cumulative'!AH55</f>
        <v>0</v>
      </c>
      <c r="AI58" s="11">
        <f>AI55-'Cash Flows Cumulative'!AI55</f>
        <v>0</v>
      </c>
      <c r="AJ58" s="61">
        <f>AJ55-'Cash Flows Cumulative'!AJ55</f>
        <v>0</v>
      </c>
      <c r="AK58" s="11">
        <f>AK55-'Cash Flows Cumulative'!AK55</f>
        <v>0</v>
      </c>
      <c r="AL58" s="11">
        <f>AL55-'Cash Flows Cumulative'!AL55</f>
        <v>0</v>
      </c>
      <c r="AM58" s="11">
        <f>AM55-'Cash Flows Cumulative'!AM55</f>
        <v>0</v>
      </c>
      <c r="AN58" s="11">
        <f>AN55-'Cash Flows Cumulative'!AN55</f>
        <v>0</v>
      </c>
      <c r="AO58" s="61">
        <f>AO55-'Cash Flows Cumulative'!AO55</f>
        <v>0</v>
      </c>
      <c r="AP58" s="11">
        <f>AP55-'Cash Flows Cumulative'!AP55</f>
        <v>0</v>
      </c>
      <c r="AQ58" s="11">
        <f>AQ55-'Cash Flows Cumulative'!AQ55</f>
        <v>0</v>
      </c>
      <c r="AR58" s="11">
        <f>AR55-'Cash Flows Cumulative'!AR55</f>
        <v>0</v>
      </c>
      <c r="AS58" s="11">
        <f>AS55-'Cash Flows Cumulative'!AS55</f>
        <v>0</v>
      </c>
      <c r="AT58" s="61">
        <f>AT55-'Cash Flows Cumulative'!AT55</f>
        <v>0</v>
      </c>
      <c r="AU58" s="11">
        <f>AU55-'Cash Flows Cumulative'!AU55</f>
        <v>0</v>
      </c>
      <c r="AV58" s="11">
        <f>AV55-'Cash Flows Cumulative'!AV55</f>
        <v>0</v>
      </c>
      <c r="AW58" s="11">
        <f>AW55-'Cash Flows Cumulative'!AW55</f>
        <v>0</v>
      </c>
      <c r="AX58" s="11">
        <f>AX55-'Cash Flows Cumulative'!AX55</f>
        <v>0</v>
      </c>
      <c r="AY58" s="61">
        <f>AY55-'Cash Flows Cumulative'!AY55</f>
        <v>0</v>
      </c>
      <c r="AZ58" s="11">
        <f>AZ55-'Cash Flows Cumulative'!AZ55</f>
        <v>0</v>
      </c>
      <c r="BA58" s="11">
        <f>BA55-'Cash Flows Cumulative'!BA55</f>
        <v>0</v>
      </c>
      <c r="BB58" s="11">
        <f>BB55-'Cash Flows Cumulative'!BB55</f>
        <v>0</v>
      </c>
      <c r="BC58" s="11">
        <f>BC55-'Cash Flows Cumulative'!BC55</f>
        <v>0</v>
      </c>
      <c r="BD58" s="61">
        <f>BD55-'Cash Flows Cumulative'!BD55</f>
        <v>0</v>
      </c>
      <c r="BE58" s="11">
        <f>BE55-'Cash Flows Cumulative'!BE55</f>
        <v>0</v>
      </c>
      <c r="BF58" s="11">
        <f>BF55-'Cash Flows Cumulative'!BF55</f>
        <v>0</v>
      </c>
      <c r="BG58" s="11">
        <f>BG55-'Cash Flows Cumulative'!BG55</f>
        <v>0</v>
      </c>
      <c r="BH58" s="11">
        <f>BH55-'Cash Flows Cumulative'!BH55</f>
        <v>0</v>
      </c>
      <c r="BI58" s="61">
        <f>BI55-'Cash Flows Cumulative'!BI55</f>
        <v>0</v>
      </c>
      <c r="BJ58" s="11">
        <f>BJ55-'Cash Flows Cumulative'!BJ55</f>
        <v>0</v>
      </c>
      <c r="BK58" s="11">
        <f>BK55-'Cash Flows Cumulative'!BK55</f>
        <v>0</v>
      </c>
      <c r="BL58" s="11">
        <f>BL55-'Cash Flows Cumulative'!BL55</f>
        <v>0</v>
      </c>
      <c r="BM58" s="11">
        <f>BM55-'Cash Flows Cumulative'!BM55</f>
        <v>0</v>
      </c>
      <c r="BN58" s="61">
        <f>BN55-'Cash Flows Cumulative'!BN55</f>
        <v>0</v>
      </c>
      <c r="BO58" s="11">
        <f>BO55-'Cash Flows Cumulative'!BO55</f>
        <v>0</v>
      </c>
      <c r="BP58" s="11">
        <f>BP55-'Cash Flows Cumulative'!BP55</f>
        <v>0</v>
      </c>
      <c r="BQ58" s="11">
        <f>BQ55-'Cash Flows Cumulative'!BQ55</f>
        <v>0</v>
      </c>
      <c r="BR58" s="11">
        <f>BR55-'Cash Flows Cumulative'!BR55</f>
        <v>0</v>
      </c>
      <c r="BS58" s="61">
        <f>BS55-'Cash Flows Cumulative'!BS55</f>
        <v>0</v>
      </c>
      <c r="BT58" s="11">
        <f>BT55-'Cash Flows Cumulative'!BT55</f>
        <v>0</v>
      </c>
      <c r="BU58" s="11">
        <f>BU55-'Cash Flows Cumulative'!BU55</f>
        <v>0</v>
      </c>
      <c r="BV58" s="11">
        <f>BV55-'Cash Flows Cumulative'!BV55</f>
        <v>0</v>
      </c>
      <c r="BW58" s="11">
        <f>BW55-'Cash Flows Cumulative'!BW55</f>
        <v>0</v>
      </c>
      <c r="BX58" s="61">
        <f>BX55-'Cash Flows Cumulative'!BX55</f>
        <v>0</v>
      </c>
      <c r="BY58" s="11">
        <f>BY55-'Cash Flows Cumulative'!BY55</f>
        <v>0</v>
      </c>
      <c r="BZ58" s="11">
        <f>BZ55-'Cash Flows Cumulative'!BZ55</f>
        <v>0</v>
      </c>
      <c r="CA58" s="11">
        <f>CA55-'Cash Flows Cumulative'!CA55</f>
        <v>0</v>
      </c>
      <c r="CB58" s="11">
        <f>CB55-'Cash Flows Cumulative'!CB55</f>
        <v>0</v>
      </c>
      <c r="CC58" s="61">
        <v>0</v>
      </c>
      <c r="CD58" s="11">
        <f>CD55-'Cash Flows Cumulative'!CD55</f>
        <v>0</v>
      </c>
      <c r="CE58" s="11">
        <f>CE55-'Cash Flows Cumulative'!CE55</f>
        <v>0</v>
      </c>
      <c r="CF58" s="11">
        <f>CF55-'Cash Flows Cumulative'!CF55</f>
        <v>0</v>
      </c>
      <c r="CG58" s="11">
        <f>CG55-'Cash Flows Cumulative'!CG55</f>
        <v>0</v>
      </c>
      <c r="CH58" s="61">
        <v>0</v>
      </c>
      <c r="CI58" s="11">
        <f>CI55-'Cash Flows Cumulative'!CI55</f>
        <v>0</v>
      </c>
      <c r="CJ58" s="11">
        <f>CJ55-'Cash Flows Cumulative'!CJ55</f>
        <v>0</v>
      </c>
      <c r="CK58" s="11">
        <f>CK55-'Cash Flows Cumulative'!CK55</f>
        <v>0</v>
      </c>
      <c r="CL58" s="11">
        <f>CL55-'Cash Flows Cumulative'!CL55</f>
        <v>0</v>
      </c>
      <c r="CM58" s="61">
        <v>0</v>
      </c>
      <c r="CN58" s="11">
        <f>CN55-'Cash Flows Cumulative'!CN55</f>
        <v>0</v>
      </c>
      <c r="CO58" s="11">
        <f>CO55-'Cash Flows Cumulative'!CO55</f>
        <v>0</v>
      </c>
      <c r="CP58" s="11"/>
      <c r="CQ58" s="11"/>
      <c r="CR58" s="61">
        <v>0</v>
      </c>
    </row>
    <row r="59" spans="1:96" s="2" customFormat="1" ht="11.15" customHeight="1" x14ac:dyDescent="0.25">
      <c r="A59" s="6" t="s">
        <v>205</v>
      </c>
      <c r="B59" s="34"/>
      <c r="C59" s="34"/>
      <c r="D59" s="34"/>
      <c r="E59" s="34"/>
      <c r="F59" s="58"/>
      <c r="G59" s="34"/>
      <c r="H59" s="34"/>
      <c r="I59" s="34"/>
      <c r="J59" s="34"/>
      <c r="K59" s="58"/>
      <c r="L59" s="34"/>
      <c r="M59" s="34"/>
      <c r="N59" s="34"/>
      <c r="O59" s="34"/>
      <c r="P59" s="58"/>
      <c r="Q59" s="34"/>
      <c r="R59" s="34"/>
      <c r="S59" s="34"/>
      <c r="T59" s="34"/>
      <c r="U59" s="58"/>
      <c r="V59" s="34"/>
      <c r="W59" s="34"/>
      <c r="X59" s="34"/>
      <c r="Y59" s="34"/>
      <c r="Z59" s="58"/>
      <c r="AA59" s="34"/>
      <c r="AB59" s="34"/>
      <c r="AC59" s="34"/>
      <c r="AD59" s="34"/>
      <c r="AE59" s="58"/>
      <c r="AF59" s="34"/>
      <c r="AG59" s="34"/>
      <c r="AH59" s="34"/>
      <c r="AI59" s="34"/>
      <c r="AJ59" s="58"/>
      <c r="AK59" s="34"/>
      <c r="AL59" s="34"/>
      <c r="AM59" s="34"/>
      <c r="AN59" s="34"/>
      <c r="AO59" s="58"/>
      <c r="AP59" s="34"/>
      <c r="AQ59" s="34"/>
      <c r="AR59" s="34"/>
      <c r="AS59" s="34"/>
      <c r="AT59" s="58"/>
      <c r="AU59" s="34"/>
      <c r="AV59" s="34"/>
      <c r="AW59" s="34"/>
      <c r="AX59" s="34"/>
      <c r="AY59" s="58"/>
      <c r="AZ59" s="34"/>
      <c r="BA59" s="34"/>
      <c r="BB59" s="34"/>
      <c r="BC59" s="34"/>
      <c r="BD59" s="58"/>
      <c r="BE59" s="34"/>
      <c r="BF59" s="34"/>
      <c r="BG59" s="34"/>
      <c r="BH59" s="34"/>
      <c r="BI59" s="58"/>
      <c r="BJ59" s="34"/>
      <c r="BK59" s="34"/>
      <c r="BL59" s="34"/>
      <c r="BM59" s="34"/>
      <c r="BN59" s="58"/>
      <c r="BO59" s="34"/>
      <c r="BP59" s="34"/>
      <c r="BQ59" s="34"/>
      <c r="BR59" s="34"/>
      <c r="BS59" s="58"/>
      <c r="BT59" s="34"/>
      <c r="BU59" s="34"/>
      <c r="BV59" s="34"/>
      <c r="BW59" s="34"/>
      <c r="BX59" s="58"/>
      <c r="BY59" s="34"/>
      <c r="BZ59" s="34"/>
      <c r="CA59" s="34"/>
      <c r="CB59" s="34"/>
      <c r="CC59" s="58"/>
      <c r="CD59" s="34"/>
      <c r="CE59" s="34"/>
      <c r="CF59" s="34"/>
      <c r="CG59" s="34"/>
      <c r="CH59" s="58"/>
      <c r="CI59" s="34"/>
      <c r="CJ59" s="34"/>
      <c r="CK59" s="34"/>
      <c r="CL59" s="34"/>
      <c r="CM59" s="58"/>
      <c r="CN59" s="34"/>
      <c r="CO59" s="34"/>
      <c r="CP59" s="34"/>
      <c r="CQ59" s="34"/>
      <c r="CR59" s="58"/>
    </row>
    <row r="60" spans="1:96" s="2" customFormat="1" ht="11.15" customHeight="1" x14ac:dyDescent="0.25">
      <c r="A60" s="21" t="s">
        <v>73</v>
      </c>
      <c r="B60" s="34"/>
      <c r="C60" s="34"/>
      <c r="D60" s="34">
        <f>'Cash Flows Cumulative'!D60-'Cash Flows Cumulative'!C60</f>
        <v>226</v>
      </c>
      <c r="E60" s="34">
        <f>'Cash Flows Cumulative'!E60-'Cash Flows Cumulative'!D60</f>
        <v>507</v>
      </c>
      <c r="F60" s="58">
        <f t="shared" ref="F60:F61" si="149">SUM(B60:E60)</f>
        <v>733</v>
      </c>
      <c r="G60" s="34">
        <f>'Cash Flows Cumulative'!G60</f>
        <v>242</v>
      </c>
      <c r="H60" s="34">
        <f>'Cash Flows Cumulative'!H60-'Cash Flows Cumulative'!G60</f>
        <v>108</v>
      </c>
      <c r="I60" s="34">
        <f>'Cash Flows Cumulative'!I60-'Cash Flows Cumulative'!H60</f>
        <v>203</v>
      </c>
      <c r="J60" s="34">
        <f>'Cash Flows Cumulative'!J60-'Cash Flows Cumulative'!I60</f>
        <v>188</v>
      </c>
      <c r="K60" s="58">
        <f t="shared" ref="K60:K61" si="150">SUM(G60:J60)</f>
        <v>741</v>
      </c>
      <c r="L60" s="34">
        <f>'Cash Flows Cumulative'!L60</f>
        <v>108</v>
      </c>
      <c r="M60" s="34">
        <f>'Cash Flows Cumulative'!M60-'Cash Flows Cumulative'!L60</f>
        <v>741</v>
      </c>
      <c r="N60" s="34">
        <f>'Cash Flows Cumulative'!N60-'Cash Flows Cumulative'!M60</f>
        <v>468</v>
      </c>
      <c r="O60" s="34">
        <f>'Cash Flows Cumulative'!O60-'Cash Flows Cumulative'!N60</f>
        <v>461</v>
      </c>
      <c r="P60" s="58">
        <f t="shared" ref="P60:P61" si="151">SUM(L60:O60)</f>
        <v>1778</v>
      </c>
      <c r="Q60" s="34">
        <f>'Cash Flows Cumulative'!Q60</f>
        <v>403</v>
      </c>
      <c r="R60" s="34">
        <f>'Cash Flows Cumulative'!R60-'Cash Flows Cumulative'!Q60</f>
        <v>391</v>
      </c>
      <c r="S60" s="34">
        <f>'Cash Flows Cumulative'!S60-'Cash Flows Cumulative'!R60</f>
        <v>369</v>
      </c>
      <c r="T60" s="34">
        <f>'Cash Flows Cumulative'!T60-'Cash Flows Cumulative'!S60</f>
        <v>298</v>
      </c>
      <c r="U60" s="58">
        <f t="shared" ref="U60:U61" si="152">SUM(Q60:T60)</f>
        <v>1461</v>
      </c>
      <c r="V60" s="34">
        <f>'Cash Flows Cumulative'!V60</f>
        <v>281</v>
      </c>
      <c r="W60" s="34">
        <f>'Cash Flows Cumulative'!W60-'Cash Flows Cumulative'!V60</f>
        <v>234</v>
      </c>
      <c r="X60" s="34">
        <f>'Cash Flows Cumulative'!X60-'Cash Flows Cumulative'!W60</f>
        <v>242</v>
      </c>
      <c r="Y60" s="34">
        <f>'Cash Flows Cumulative'!Y60-'Cash Flows Cumulative'!X60</f>
        <v>241</v>
      </c>
      <c r="Z60" s="58">
        <f t="shared" ref="Z60:Z61" si="153">SUM(V60:Y60)</f>
        <v>998</v>
      </c>
      <c r="AA60" s="34">
        <f>'Cash Flows Cumulative'!AA60</f>
        <v>255</v>
      </c>
      <c r="AB60" s="34">
        <f>'Cash Flows Cumulative'!AB60-'Cash Flows Cumulative'!AA60</f>
        <v>259</v>
      </c>
      <c r="AC60" s="34">
        <f>'Cash Flows Cumulative'!AC60-'Cash Flows Cumulative'!AB60</f>
        <v>295</v>
      </c>
      <c r="AD60" s="34">
        <f>'Cash Flows Cumulative'!AD60-'Cash Flows Cumulative'!AC60</f>
        <v>280</v>
      </c>
      <c r="AE60" s="58">
        <f t="shared" ref="AE60:AE61" si="154">SUM(AA60:AD60)</f>
        <v>1089</v>
      </c>
      <c r="AF60" s="34">
        <f>'Cash Flows Cumulative'!AF60</f>
        <v>251</v>
      </c>
      <c r="AG60" s="34">
        <f>'Cash Flows Cumulative'!AG60-'Cash Flows Cumulative'!AF60</f>
        <v>160</v>
      </c>
      <c r="AH60" s="34">
        <f>'Cash Flows Cumulative'!AH60-'Cash Flows Cumulative'!AG60</f>
        <v>142</v>
      </c>
      <c r="AI60" s="34">
        <f>'Cash Flows Cumulative'!AI60-'Cash Flows Cumulative'!AH60</f>
        <v>311</v>
      </c>
      <c r="AJ60" s="58">
        <f t="shared" ref="AJ60:AJ61" si="155">SUM(AF60:AI60)</f>
        <v>864</v>
      </c>
      <c r="AK60" s="34">
        <f>'Cash Flows Cumulative'!AK60</f>
        <v>88</v>
      </c>
      <c r="AL60" s="34">
        <f>'Cash Flows Cumulative'!AL60-'Cash Flows Cumulative'!AK60</f>
        <v>77</v>
      </c>
      <c r="AM60" s="34">
        <f>'Cash Flows Cumulative'!AM60-'Cash Flows Cumulative'!AL60</f>
        <v>25</v>
      </c>
      <c r="AN60" s="34">
        <f>'Cash Flows Cumulative'!AN60-'Cash Flows Cumulative'!AM60</f>
        <v>18</v>
      </c>
      <c r="AO60" s="58">
        <f t="shared" ref="AO60:AO61" si="156">SUM(AK60:AN60)</f>
        <v>208</v>
      </c>
      <c r="AP60" s="34">
        <f>'Cash Flows Cumulative'!AP60</f>
        <v>102</v>
      </c>
      <c r="AQ60" s="34">
        <f>'Cash Flows Cumulative'!AQ60-'Cash Flows Cumulative'!AP60</f>
        <v>121</v>
      </c>
      <c r="AR60" s="34">
        <f>'Cash Flows Cumulative'!AR60-'Cash Flows Cumulative'!AQ60</f>
        <v>79</v>
      </c>
      <c r="AS60" s="34">
        <f>'Cash Flows Cumulative'!AS60-'Cash Flows Cumulative'!AR60</f>
        <v>-49</v>
      </c>
      <c r="AT60" s="58">
        <f t="shared" ref="AT60:AT61" si="157">SUM(AP60:AS60)</f>
        <v>253</v>
      </c>
      <c r="AU60" s="34">
        <f>'Cash Flows Cumulative'!AU60</f>
        <v>293</v>
      </c>
      <c r="AV60" s="34">
        <f>'Cash Flows Cumulative'!AV60-'Cash Flows Cumulative'!AU60</f>
        <v>240</v>
      </c>
      <c r="AW60" s="34">
        <f>'Cash Flows Cumulative'!AW60-'Cash Flows Cumulative'!AV60</f>
        <v>155</v>
      </c>
      <c r="AX60" s="34">
        <f>'Cash Flows Cumulative'!AX60-'Cash Flows Cumulative'!AW60</f>
        <v>185</v>
      </c>
      <c r="AY60" s="58">
        <f t="shared" ref="AY60:AY61" si="158">SUM(AU60:AX60)</f>
        <v>873</v>
      </c>
      <c r="AZ60" s="34">
        <f>'Cash Flows Cumulative'!AZ60</f>
        <v>171</v>
      </c>
      <c r="BA60" s="34">
        <f>'Cash Flows Cumulative'!BA60-'Cash Flows Cumulative'!AZ60</f>
        <v>178</v>
      </c>
      <c r="BB60" s="34">
        <f>'Cash Flows Cumulative'!BB60-'Cash Flows Cumulative'!BA60</f>
        <v>274</v>
      </c>
      <c r="BC60" s="34">
        <f>'Cash Flows Cumulative'!BC60-'Cash Flows Cumulative'!BB60</f>
        <v>319</v>
      </c>
      <c r="BD60" s="58">
        <f t="shared" ref="BD60:BD61" si="159">SUM(AZ60:BC60)</f>
        <v>942</v>
      </c>
      <c r="BE60" s="34">
        <f>'Cash Flows Cumulative'!BE60</f>
        <v>447</v>
      </c>
      <c r="BF60" s="34">
        <f>'Cash Flows Cumulative'!BF60-'Cash Flows Cumulative'!BE60</f>
        <v>528</v>
      </c>
      <c r="BG60" s="34">
        <f>'Cash Flows Cumulative'!BG60-'Cash Flows Cumulative'!BF60</f>
        <v>990</v>
      </c>
      <c r="BH60" s="34">
        <f>'Cash Flows Cumulative'!BH60-'Cash Flows Cumulative'!BG60</f>
        <v>618</v>
      </c>
      <c r="BI60" s="58">
        <f t="shared" ref="BI60:BI61" si="160">SUM(BE60:BH60)</f>
        <v>2583</v>
      </c>
      <c r="BJ60" s="34">
        <f>'Cash Flows Cumulative'!BJ60</f>
        <v>799</v>
      </c>
      <c r="BK60" s="34">
        <f>'Cash Flows Cumulative'!BK60-'Cash Flows Cumulative'!BJ60</f>
        <v>873</v>
      </c>
      <c r="BL60" s="34">
        <f>'Cash Flows Cumulative'!BL60-'Cash Flows Cumulative'!BK60</f>
        <v>730</v>
      </c>
      <c r="BM60" s="34">
        <f>'Cash Flows Cumulative'!BM60-'Cash Flows Cumulative'!BL60</f>
        <v>650</v>
      </c>
      <c r="BN60" s="58">
        <f t="shared" ref="BN60:BN61" si="161">SUM(BJ60:BM60)</f>
        <v>3052</v>
      </c>
      <c r="BO60" s="34">
        <f>'Cash Flows Cumulative'!BO60</f>
        <v>749</v>
      </c>
      <c r="BP60" s="34">
        <f>'Cash Flows Cumulative'!BP60-'Cash Flows Cumulative'!BO60</f>
        <v>415</v>
      </c>
      <c r="BQ60" s="34">
        <f>'Cash Flows Cumulative'!BQ60-'Cash Flows Cumulative'!BP60</f>
        <v>491</v>
      </c>
      <c r="BR60" s="34">
        <f>'Cash Flows Cumulative'!BR60-'Cash Flows Cumulative'!BQ60</f>
        <v>1028</v>
      </c>
      <c r="BS60" s="58">
        <f t="shared" ref="BS60:BS61" si="162">SUM(BO60:BR60)</f>
        <v>2683</v>
      </c>
      <c r="BT60" s="34">
        <f>'Cash Flows Cumulative'!BT60</f>
        <v>447</v>
      </c>
      <c r="BU60" s="34">
        <f>'Cash Flows Cumulative'!BU60-'Cash Flows Cumulative'!BT60</f>
        <v>614</v>
      </c>
      <c r="BV60" s="34">
        <f>'Cash Flows Cumulative'!BV60-'Cash Flows Cumulative'!BU60</f>
        <v>589</v>
      </c>
      <c r="BW60" s="34">
        <f>'Cash Flows Cumulative'!BW60-'Cash Flows Cumulative'!BV60</f>
        <v>584</v>
      </c>
      <c r="BX60" s="58">
        <f t="shared" ref="BX60:BX61" si="163">SUM(BT60:BW60)</f>
        <v>2234</v>
      </c>
      <c r="BY60" s="34">
        <f>'Cash Flows Cumulative'!BY60</f>
        <v>703</v>
      </c>
      <c r="BZ60" s="34">
        <f>'Cash Flows Cumulative'!BZ60-'Cash Flows Cumulative'!BY60</f>
        <v>685</v>
      </c>
      <c r="CA60" s="34">
        <f>'Cash Flows Cumulative'!CA60-'Cash Flows Cumulative'!BZ60</f>
        <v>544</v>
      </c>
      <c r="CB60" s="34">
        <f>'Cash Flows Cumulative'!CB60-'Cash Flows Cumulative'!CA60</f>
        <v>782</v>
      </c>
      <c r="CC60" s="58">
        <f t="shared" ref="CC60:CC61" si="164">SUM(BY60:CB60)</f>
        <v>2714</v>
      </c>
      <c r="CD60" s="34">
        <f>'Cash Flows Cumulative'!CD60</f>
        <v>857</v>
      </c>
      <c r="CE60" s="34">
        <f>'Cash Flows Cumulative'!CE60-'Cash Flows Cumulative'!CD60</f>
        <v>743</v>
      </c>
      <c r="CF60" s="34">
        <f>'Cash Flows Cumulative'!CF60-'Cash Flows Cumulative'!CE60</f>
        <v>1166</v>
      </c>
      <c r="CG60" s="34">
        <f>'Cash Flows Cumulative'!CG60-'Cash Flows Cumulative'!CF60</f>
        <v>448</v>
      </c>
      <c r="CH60" s="58">
        <f t="shared" ref="CH60:CH61" si="165">SUM(CD60:CG60)</f>
        <v>3214</v>
      </c>
      <c r="CI60" s="34">
        <f>'Cash Flows Cumulative'!CI60</f>
        <v>525</v>
      </c>
      <c r="CJ60" s="34">
        <f>'Cash Flows Cumulative'!CJ60-'Cash Flows Cumulative'!CI60</f>
        <v>422</v>
      </c>
      <c r="CK60" s="34">
        <f>'Cash Flows Cumulative'!CK60-'Cash Flows Cumulative'!CJ60</f>
        <v>163</v>
      </c>
      <c r="CL60" s="34">
        <f>'Cash Flows Cumulative'!CL60-'Cash Flows Cumulative'!CK60</f>
        <v>174</v>
      </c>
      <c r="CM60" s="58">
        <f t="shared" ref="CM60:CM61" si="166">SUM(CI60:CL60)</f>
        <v>1284</v>
      </c>
      <c r="CN60" s="34">
        <f>'Cash Flows Cumulative'!CN60</f>
        <v>4</v>
      </c>
      <c r="CO60" s="8">
        <f>'Cash Flows Cumulative'!CO60-'Cash Flows Cumulative'!CN60</f>
        <v>90</v>
      </c>
      <c r="CP60" s="34"/>
      <c r="CQ60" s="34"/>
      <c r="CR60" s="58">
        <f t="shared" ref="CR60:CR61" si="167">SUM(CN60:CQ60)</f>
        <v>94</v>
      </c>
    </row>
    <row r="61" spans="1:96" s="2" customFormat="1" ht="11.15" customHeight="1" x14ac:dyDescent="0.25">
      <c r="A61" s="21" t="s">
        <v>74</v>
      </c>
      <c r="B61" s="34"/>
      <c r="C61" s="34"/>
      <c r="D61" s="34">
        <f>'Cash Flows Cumulative'!D61-'Cash Flows Cumulative'!C61</f>
        <v>640</v>
      </c>
      <c r="E61" s="34">
        <f>'Cash Flows Cumulative'!E61-'Cash Flows Cumulative'!D61</f>
        <v>589</v>
      </c>
      <c r="F61" s="58">
        <f t="shared" si="149"/>
        <v>1229</v>
      </c>
      <c r="G61" s="34">
        <f>'Cash Flows Cumulative'!G61</f>
        <v>3889</v>
      </c>
      <c r="H61" s="34">
        <f>'Cash Flows Cumulative'!H61-'Cash Flows Cumulative'!G61</f>
        <v>10051</v>
      </c>
      <c r="I61" s="34">
        <f>'Cash Flows Cumulative'!I61-'Cash Flows Cumulative'!H61</f>
        <v>3569</v>
      </c>
      <c r="J61" s="34">
        <f>'Cash Flows Cumulative'!J61-'Cash Flows Cumulative'!I61</f>
        <v>-721</v>
      </c>
      <c r="K61" s="58">
        <f t="shared" si="150"/>
        <v>16788</v>
      </c>
      <c r="L61" s="34">
        <f>'Cash Flows Cumulative'!L61</f>
        <v>2915</v>
      </c>
      <c r="M61" s="34">
        <f>'Cash Flows Cumulative'!M61-'Cash Flows Cumulative'!L61</f>
        <v>2111</v>
      </c>
      <c r="N61" s="34">
        <f>'Cash Flows Cumulative'!N61-'Cash Flows Cumulative'!M61</f>
        <v>3898</v>
      </c>
      <c r="O61" s="34">
        <f>'Cash Flows Cumulative'!O61-'Cash Flows Cumulative'!N61</f>
        <v>2827</v>
      </c>
      <c r="P61" s="58">
        <f t="shared" si="151"/>
        <v>11751</v>
      </c>
      <c r="Q61" s="34">
        <f>'Cash Flows Cumulative'!Q61</f>
        <v>2795</v>
      </c>
      <c r="R61" s="34">
        <f>'Cash Flows Cumulative'!R61-'Cash Flows Cumulative'!Q61</f>
        <v>2264</v>
      </c>
      <c r="S61" s="34">
        <f>'Cash Flows Cumulative'!S61-'Cash Flows Cumulative'!R61</f>
        <v>-464</v>
      </c>
      <c r="T61" s="34">
        <f>'Cash Flows Cumulative'!T61-'Cash Flows Cumulative'!S61</f>
        <v>334</v>
      </c>
      <c r="U61" s="58">
        <f t="shared" si="152"/>
        <v>4929</v>
      </c>
      <c r="V61" s="34">
        <f>'Cash Flows Cumulative'!V61</f>
        <v>1445</v>
      </c>
      <c r="W61" s="34">
        <f>'Cash Flows Cumulative'!W61-'Cash Flows Cumulative'!V61</f>
        <v>2059</v>
      </c>
      <c r="X61" s="34">
        <f>'Cash Flows Cumulative'!X61-'Cash Flows Cumulative'!W61</f>
        <v>2859</v>
      </c>
      <c r="Y61" s="34">
        <f>'Cash Flows Cumulative'!Y61-'Cash Flows Cumulative'!X61</f>
        <v>1054</v>
      </c>
      <c r="Z61" s="58">
        <f t="shared" si="153"/>
        <v>7417</v>
      </c>
      <c r="AA61" s="34">
        <f>'Cash Flows Cumulative'!AA61</f>
        <v>8865</v>
      </c>
      <c r="AB61" s="34">
        <f>'Cash Flows Cumulative'!AB61-'Cash Flows Cumulative'!AA61</f>
        <v>6040</v>
      </c>
      <c r="AC61" s="34">
        <f>'Cash Flows Cumulative'!AC61-'Cash Flows Cumulative'!AB61</f>
        <v>4560</v>
      </c>
      <c r="AD61" s="34">
        <f>'Cash Flows Cumulative'!AD61-'Cash Flows Cumulative'!AC61</f>
        <v>19734</v>
      </c>
      <c r="AE61" s="58">
        <f t="shared" si="154"/>
        <v>39199</v>
      </c>
      <c r="AF61" s="34">
        <f>'Cash Flows Cumulative'!AF61</f>
        <v>6755</v>
      </c>
      <c r="AG61" s="34">
        <f>'Cash Flows Cumulative'!AG61-'Cash Flows Cumulative'!AF61</f>
        <v>7691</v>
      </c>
      <c r="AH61" s="34">
        <f>'Cash Flows Cumulative'!AH61-'Cash Flows Cumulative'!AG61</f>
        <v>6521</v>
      </c>
      <c r="AI61" s="34">
        <f>'Cash Flows Cumulative'!AI61-'Cash Flows Cumulative'!AH61</f>
        <v>5013</v>
      </c>
      <c r="AJ61" s="58">
        <f t="shared" si="155"/>
        <v>25980</v>
      </c>
      <c r="AK61" s="34">
        <f>'Cash Flows Cumulative'!AK61</f>
        <v>47813</v>
      </c>
      <c r="AL61" s="34">
        <f>'Cash Flows Cumulative'!AL61-'Cash Flows Cumulative'!AK61</f>
        <v>13495</v>
      </c>
      <c r="AM61" s="34">
        <f>'Cash Flows Cumulative'!AM61-'Cash Flows Cumulative'!AL61</f>
        <v>12799</v>
      </c>
      <c r="AN61" s="34">
        <f>'Cash Flows Cumulative'!AN61-'Cash Flows Cumulative'!AM61</f>
        <v>15504</v>
      </c>
      <c r="AO61" s="58">
        <f t="shared" si="156"/>
        <v>89611</v>
      </c>
      <c r="AP61" s="34">
        <f>'Cash Flows Cumulative'!AP61</f>
        <v>20893</v>
      </c>
      <c r="AQ61" s="34">
        <f>'Cash Flows Cumulative'!AQ61-'Cash Flows Cumulative'!AP61</f>
        <v>20632</v>
      </c>
      <c r="AR61" s="34">
        <f>'Cash Flows Cumulative'!AR61-'Cash Flows Cumulative'!AQ61</f>
        <v>15205</v>
      </c>
      <c r="AS61" s="34">
        <f>'Cash Flows Cumulative'!AS61-'Cash Flows Cumulative'!AR61</f>
        <v>16814</v>
      </c>
      <c r="AT61" s="58">
        <f t="shared" si="157"/>
        <v>73544</v>
      </c>
      <c r="AU61" s="34">
        <f>'Cash Flows Cumulative'!AU61</f>
        <v>11899</v>
      </c>
      <c r="AV61" s="34">
        <f>'Cash Flows Cumulative'!AV61-'Cash Flows Cumulative'!AU61</f>
        <v>32829</v>
      </c>
      <c r="AW61" s="34">
        <f>'Cash Flows Cumulative'!AW61-'Cash Flows Cumulative'!AV61</f>
        <v>20648</v>
      </c>
      <c r="AX61" s="34">
        <f>'Cash Flows Cumulative'!AX61-'Cash Flows Cumulative'!AW61</f>
        <v>25953</v>
      </c>
      <c r="AY61" s="58">
        <f t="shared" si="158"/>
        <v>91329</v>
      </c>
      <c r="AZ61" s="34">
        <f>'Cash Flows Cumulative'!AZ61</f>
        <v>11955</v>
      </c>
      <c r="BA61" s="34">
        <f>'Cash Flows Cumulative'!BA61-'Cash Flows Cumulative'!AZ61</f>
        <v>54523</v>
      </c>
      <c r="BB61" s="34">
        <f>'Cash Flows Cumulative'!BB61-'Cash Flows Cumulative'!BA61</f>
        <v>26061</v>
      </c>
      <c r="BC61" s="34">
        <f>'Cash Flows Cumulative'!BC61-'Cash Flows Cumulative'!BB61</f>
        <v>34425</v>
      </c>
      <c r="BD61" s="58">
        <f t="shared" si="159"/>
        <v>126964</v>
      </c>
      <c r="BE61" s="34">
        <f>'Cash Flows Cumulative'!BE61</f>
        <v>31371</v>
      </c>
      <c r="BF61" s="34">
        <f>'Cash Flows Cumulative'!BF61-'Cash Flows Cumulative'!BE61</f>
        <v>49585</v>
      </c>
      <c r="BG61" s="34">
        <f>'Cash Flows Cumulative'!BG61-'Cash Flows Cumulative'!BF61</f>
        <v>37704</v>
      </c>
      <c r="BH61" s="34">
        <f>'Cash Flows Cumulative'!BH61-'Cash Flows Cumulative'!BG61</f>
        <v>36899</v>
      </c>
      <c r="BI61" s="58">
        <f t="shared" si="160"/>
        <v>155559</v>
      </c>
      <c r="BJ61" s="34">
        <f>'Cash Flows Cumulative'!BJ61</f>
        <v>19546</v>
      </c>
      <c r="BK61" s="34">
        <f>'Cash Flows Cumulative'!BK61-'Cash Flows Cumulative'!BJ61</f>
        <v>44949</v>
      </c>
      <c r="BL61" s="34">
        <f>'Cash Flows Cumulative'!BL61-'Cash Flows Cumulative'!BK61</f>
        <v>30306</v>
      </c>
      <c r="BM61" s="34">
        <f>'Cash Flows Cumulative'!BM61-'Cash Flows Cumulative'!BL61</f>
        <v>17961</v>
      </c>
      <c r="BN61" s="58">
        <f t="shared" si="161"/>
        <v>112762</v>
      </c>
      <c r="BO61" s="34">
        <f>'Cash Flows Cumulative'!BO61</f>
        <v>51438</v>
      </c>
      <c r="BP61" s="34">
        <f>'Cash Flows Cumulative'!BP61-'Cash Flows Cumulative'!BO61</f>
        <v>22417</v>
      </c>
      <c r="BQ61" s="34">
        <f>'Cash Flows Cumulative'!BQ61-'Cash Flows Cumulative'!BP61</f>
        <v>23317</v>
      </c>
      <c r="BR61" s="34">
        <f>'Cash Flows Cumulative'!BR61-'Cash Flows Cumulative'!BQ61</f>
        <v>19779</v>
      </c>
      <c r="BS61" s="58">
        <f t="shared" si="162"/>
        <v>116951</v>
      </c>
      <c r="BT61" s="34">
        <f>'Cash Flows Cumulative'!BT61</f>
        <v>29865</v>
      </c>
      <c r="BU61" s="34">
        <f>'Cash Flows Cumulative'!BU61-'Cash Flows Cumulative'!BT61</f>
        <v>23805</v>
      </c>
      <c r="BV61" s="34">
        <f>'Cash Flows Cumulative'!BV61-'Cash Flows Cumulative'!BU61</f>
        <v>12225</v>
      </c>
      <c r="BW61" s="34">
        <f>'Cash Flows Cumulative'!BW61-'Cash Flows Cumulative'!BV61</f>
        <v>19966</v>
      </c>
      <c r="BX61" s="58">
        <f t="shared" si="163"/>
        <v>85861</v>
      </c>
      <c r="BY61" s="34">
        <f>'Cash Flows Cumulative'!BY61</f>
        <v>21340</v>
      </c>
      <c r="BZ61" s="34">
        <f>'Cash Flows Cumulative'!BZ61-'Cash Flows Cumulative'!BY61</f>
        <v>20469</v>
      </c>
      <c r="CA61" s="34">
        <f>'Cash Flows Cumulative'!CA61-'Cash Flows Cumulative'!BZ61</f>
        <v>-5827</v>
      </c>
      <c r="CB61" s="34">
        <f>'Cash Flows Cumulative'!CB61-'Cash Flows Cumulative'!CA61</f>
        <v>27016</v>
      </c>
      <c r="CC61" s="58">
        <f t="shared" si="164"/>
        <v>62998</v>
      </c>
      <c r="CD61" s="34">
        <f>'Cash Flows Cumulative'!CD61</f>
        <v>25423</v>
      </c>
      <c r="CE61" s="34">
        <f>'Cash Flows Cumulative'!CE61-'Cash Flows Cumulative'!CD61</f>
        <v>36292</v>
      </c>
      <c r="CF61" s="34">
        <f>'Cash Flows Cumulative'!CF61-'Cash Flows Cumulative'!CE61</f>
        <v>22056</v>
      </c>
      <c r="CG61" s="34">
        <f>'Cash Flows Cumulative'!CG61-'Cash Flows Cumulative'!CF61</f>
        <v>29429</v>
      </c>
      <c r="CH61" s="58">
        <f t="shared" si="165"/>
        <v>113200</v>
      </c>
      <c r="CI61" s="34">
        <f>'Cash Flows Cumulative'!CI61</f>
        <v>19203</v>
      </c>
      <c r="CJ61" s="34">
        <f>'Cash Flows Cumulative'!CJ61-'Cash Flows Cumulative'!CI61</f>
        <v>38975</v>
      </c>
      <c r="CK61" s="34">
        <f>'Cash Flows Cumulative'!CK61-'Cash Flows Cumulative'!CJ61</f>
        <v>-3177</v>
      </c>
      <c r="CL61" s="34">
        <f>'Cash Flows Cumulative'!CL61-'Cash Flows Cumulative'!CK61</f>
        <v>7915</v>
      </c>
      <c r="CM61" s="58">
        <f t="shared" si="166"/>
        <v>62916</v>
      </c>
      <c r="CN61" s="34">
        <f>'Cash Flows Cumulative'!CN61</f>
        <v>8005</v>
      </c>
      <c r="CO61" s="8">
        <f>'Cash Flows Cumulative'!CO61-'Cash Flows Cumulative'!CN61</f>
        <v>26160</v>
      </c>
      <c r="CP61" s="34"/>
      <c r="CQ61" s="34"/>
      <c r="CR61" s="58">
        <f t="shared" si="167"/>
        <v>34165</v>
      </c>
    </row>
    <row r="62" spans="1:96" s="2" customFormat="1" ht="11.15" customHeight="1" x14ac:dyDescent="0.25">
      <c r="A62" s="21"/>
      <c r="B62" s="34"/>
      <c r="C62" s="34"/>
      <c r="D62" s="34"/>
      <c r="E62" s="34"/>
      <c r="F62" s="58"/>
      <c r="G62" s="34"/>
      <c r="H62" s="34"/>
      <c r="I62" s="34"/>
      <c r="J62" s="34"/>
      <c r="K62" s="58"/>
      <c r="L62" s="34"/>
      <c r="M62" s="34"/>
      <c r="N62" s="34"/>
      <c r="O62" s="34"/>
      <c r="P62" s="58"/>
      <c r="Q62" s="34"/>
      <c r="R62" s="34"/>
      <c r="S62" s="34"/>
      <c r="T62" s="34"/>
      <c r="U62" s="58"/>
      <c r="V62" s="34"/>
      <c r="W62" s="34"/>
      <c r="X62" s="34"/>
      <c r="Y62" s="34"/>
      <c r="Z62" s="58"/>
      <c r="AA62" s="34"/>
      <c r="AB62" s="34"/>
      <c r="AC62" s="34"/>
      <c r="AD62" s="34"/>
      <c r="AE62" s="58"/>
      <c r="AF62" s="34"/>
      <c r="AG62" s="34"/>
      <c r="AH62" s="34"/>
      <c r="AI62" s="34"/>
      <c r="AJ62" s="58"/>
      <c r="AK62" s="34"/>
      <c r="AL62" s="34"/>
      <c r="AM62" s="34"/>
      <c r="AN62" s="34"/>
      <c r="AO62" s="58"/>
      <c r="AP62" s="34"/>
      <c r="AQ62" s="34"/>
      <c r="AR62" s="34"/>
      <c r="AS62" s="34"/>
      <c r="AT62" s="58"/>
      <c r="AU62" s="34"/>
      <c r="AV62" s="34"/>
      <c r="AW62" s="34"/>
      <c r="AX62" s="34"/>
      <c r="AY62" s="58"/>
      <c r="AZ62" s="34"/>
      <c r="BA62" s="34"/>
      <c r="BB62" s="34"/>
      <c r="BC62" s="34"/>
      <c r="BD62" s="58"/>
      <c r="BE62" s="34"/>
      <c r="BF62" s="34"/>
      <c r="BG62" s="34"/>
      <c r="BH62" s="34"/>
      <c r="BI62" s="58"/>
      <c r="BJ62" s="34"/>
      <c r="BK62" s="34"/>
      <c r="BL62" s="34"/>
      <c r="BM62" s="34"/>
      <c r="BN62" s="58"/>
      <c r="BO62" s="34"/>
      <c r="BP62" s="34"/>
      <c r="BQ62" s="34"/>
      <c r="BR62" s="34"/>
      <c r="BS62" s="58"/>
      <c r="BT62" s="34"/>
      <c r="BU62" s="34"/>
      <c r="BV62" s="34"/>
      <c r="BW62" s="34"/>
      <c r="BX62" s="58"/>
      <c r="BY62" s="34"/>
      <c r="BZ62" s="34"/>
      <c r="CA62" s="34"/>
      <c r="CB62" s="34"/>
      <c r="CC62" s="58"/>
      <c r="CD62" s="34"/>
      <c r="CE62" s="34"/>
      <c r="CF62" s="34"/>
      <c r="CG62" s="34"/>
      <c r="CH62" s="58"/>
      <c r="CI62" s="34"/>
      <c r="CJ62" s="34"/>
      <c r="CK62" s="34"/>
      <c r="CL62" s="34"/>
      <c r="CM62" s="58"/>
      <c r="CN62" s="34"/>
      <c r="CO62" s="34"/>
      <c r="CP62" s="34"/>
      <c r="CQ62" s="34"/>
      <c r="CR62" s="58"/>
    </row>
    <row r="63" spans="1:96" s="2" customFormat="1" ht="11.15" customHeight="1" x14ac:dyDescent="0.25">
      <c r="A63" s="6" t="s">
        <v>206</v>
      </c>
      <c r="B63" s="38"/>
      <c r="C63" s="38"/>
      <c r="D63" s="38"/>
      <c r="E63" s="38"/>
      <c r="F63" s="58"/>
      <c r="G63" s="38"/>
      <c r="H63" s="38"/>
      <c r="I63" s="38"/>
      <c r="J63" s="38"/>
      <c r="K63" s="58"/>
      <c r="L63" s="38"/>
      <c r="M63" s="38"/>
      <c r="N63" s="38"/>
      <c r="O63" s="38"/>
      <c r="P63" s="58"/>
      <c r="Q63" s="38"/>
      <c r="R63" s="38"/>
      <c r="S63" s="38"/>
      <c r="T63" s="38"/>
      <c r="U63" s="58"/>
      <c r="V63" s="38"/>
      <c r="W63" s="38"/>
      <c r="X63" s="38"/>
      <c r="Y63" s="38"/>
      <c r="Z63" s="58"/>
      <c r="AA63" s="38"/>
      <c r="AB63" s="38"/>
      <c r="AC63" s="38"/>
      <c r="AD63" s="38"/>
      <c r="AE63" s="58"/>
      <c r="AF63" s="38"/>
      <c r="AG63" s="38"/>
      <c r="AH63" s="38"/>
      <c r="AI63" s="38"/>
      <c r="AJ63" s="58"/>
      <c r="AK63" s="38"/>
      <c r="AL63" s="38"/>
      <c r="AM63" s="38"/>
      <c r="AN63" s="38"/>
      <c r="AO63" s="58"/>
      <c r="AP63" s="38"/>
      <c r="AQ63" s="38"/>
      <c r="AR63" s="38"/>
      <c r="AS63" s="38"/>
      <c r="AT63" s="58"/>
      <c r="AU63" s="38"/>
      <c r="AV63" s="38"/>
      <c r="AW63" s="38"/>
      <c r="AX63" s="38"/>
      <c r="AY63" s="58"/>
      <c r="AZ63" s="38"/>
      <c r="BA63" s="38"/>
      <c r="BB63" s="38"/>
      <c r="BC63" s="38"/>
      <c r="BD63" s="58"/>
      <c r="BE63" s="38"/>
      <c r="BF63" s="38"/>
      <c r="BG63" s="38"/>
      <c r="BH63" s="38"/>
      <c r="BI63" s="58"/>
      <c r="BJ63" s="36"/>
      <c r="BK63" s="38"/>
      <c r="BL63" s="38"/>
      <c r="BM63" s="38"/>
      <c r="BN63" s="58"/>
      <c r="BO63" s="36"/>
      <c r="BP63" s="38"/>
      <c r="BQ63" s="38"/>
      <c r="BR63" s="38"/>
      <c r="BS63" s="58"/>
      <c r="BT63" s="36"/>
      <c r="BU63" s="38"/>
      <c r="BV63" s="38"/>
      <c r="BW63" s="38"/>
      <c r="BX63" s="58"/>
      <c r="BY63" s="36"/>
      <c r="BZ63" s="38"/>
      <c r="CA63" s="38"/>
      <c r="CB63" s="38"/>
      <c r="CC63" s="58"/>
      <c r="CD63" s="36"/>
      <c r="CE63" s="38"/>
      <c r="CF63" s="38"/>
      <c r="CG63" s="38"/>
      <c r="CH63" s="58"/>
      <c r="CI63" s="36"/>
      <c r="CJ63" s="36"/>
      <c r="CK63" s="36"/>
      <c r="CL63" s="38"/>
      <c r="CM63" s="58"/>
      <c r="CN63" s="36"/>
      <c r="CO63" s="36"/>
      <c r="CP63" s="36"/>
      <c r="CQ63" s="38"/>
      <c r="CR63" s="58"/>
    </row>
    <row r="64" spans="1:96" s="2" customFormat="1" ht="11.15" customHeight="1" x14ac:dyDescent="0.25">
      <c r="A64" s="21" t="s">
        <v>154</v>
      </c>
      <c r="B64" s="38"/>
      <c r="C64" s="38"/>
      <c r="D64" s="38"/>
      <c r="E64" s="38"/>
      <c r="F64" s="58"/>
      <c r="G64" s="38"/>
      <c r="H64" s="38"/>
      <c r="I64" s="38"/>
      <c r="J64" s="38"/>
      <c r="K64" s="58"/>
      <c r="L64" s="38"/>
      <c r="M64" s="38"/>
      <c r="N64" s="38"/>
      <c r="O64" s="38"/>
      <c r="P64" s="58"/>
      <c r="Q64" s="38"/>
      <c r="R64" s="38"/>
      <c r="S64" s="38"/>
      <c r="T64" s="38"/>
      <c r="U64" s="58"/>
      <c r="V64" s="38"/>
      <c r="W64" s="38"/>
      <c r="X64" s="38"/>
      <c r="Y64" s="38"/>
      <c r="Z64" s="58"/>
      <c r="AA64" s="38"/>
      <c r="AB64" s="38"/>
      <c r="AC64" s="38"/>
      <c r="AD64" s="38"/>
      <c r="AE64" s="58"/>
      <c r="AF64" s="38"/>
      <c r="AG64" s="38"/>
      <c r="AH64" s="38"/>
      <c r="AI64" s="38"/>
      <c r="AJ64" s="58"/>
      <c r="AK64" s="38"/>
      <c r="AL64" s="38"/>
      <c r="AM64" s="38"/>
      <c r="AN64" s="38"/>
      <c r="AO64" s="58"/>
      <c r="AP64" s="38"/>
      <c r="AQ64" s="38"/>
      <c r="AR64" s="38"/>
      <c r="AS64" s="38"/>
      <c r="AT64" s="58"/>
      <c r="AU64" s="38"/>
      <c r="AV64" s="38"/>
      <c r="AW64" s="38"/>
      <c r="AX64" s="38"/>
      <c r="AY64" s="58"/>
      <c r="AZ64" s="38"/>
      <c r="BA64" s="38"/>
      <c r="BB64" s="36">
        <v>41.8</v>
      </c>
      <c r="BC64" s="36">
        <v>60.973999999999997</v>
      </c>
      <c r="BD64" s="61">
        <f t="shared" ref="BD64:BD66" si="168">SUM(AZ64:BC64)</f>
        <v>102.774</v>
      </c>
      <c r="BE64" s="36">
        <v>107.7</v>
      </c>
      <c r="BF64" s="36">
        <v>90.831999999999994</v>
      </c>
      <c r="BG64" s="36">
        <v>17.327999999999999</v>
      </c>
      <c r="BH64" s="36">
        <v>59.634999999999998</v>
      </c>
      <c r="BI64" s="61">
        <f t="shared" ref="BI64:BI66" si="169">SUM(BE64:BH64)</f>
        <v>275.495</v>
      </c>
      <c r="BJ64" s="36">
        <v>82.897999999999996</v>
      </c>
      <c r="BK64" s="36">
        <v>131.68</v>
      </c>
      <c r="BL64" s="36">
        <v>371.22800000000001</v>
      </c>
      <c r="BM64" s="36">
        <v>466.01900000000001</v>
      </c>
      <c r="BN64" s="61">
        <f t="shared" ref="BN64:BN66" si="170">SUM(BJ64:BM64)</f>
        <v>1051.825</v>
      </c>
      <c r="BO64" s="36">
        <v>0</v>
      </c>
      <c r="BP64" s="36">
        <v>15.38</v>
      </c>
      <c r="BQ64" s="36">
        <v>180.62</v>
      </c>
      <c r="BR64" s="36">
        <v>105.262</v>
      </c>
      <c r="BS64" s="61">
        <f t="shared" ref="BS64" si="171">SUM(BO64:BR64)</f>
        <v>301.262</v>
      </c>
      <c r="BT64" s="36">
        <v>108.819</v>
      </c>
      <c r="BU64" s="36">
        <v>131.369</v>
      </c>
      <c r="BV64" s="36">
        <v>61.472000000000001</v>
      </c>
      <c r="BW64" s="36">
        <v>0</v>
      </c>
      <c r="BX64" s="61">
        <f t="shared" ref="BX64" si="172">SUM(BT64:BW64)</f>
        <v>301.65999999999997</v>
      </c>
      <c r="BY64" s="36">
        <v>14.906000000000001</v>
      </c>
      <c r="BZ64" s="36">
        <v>185.333</v>
      </c>
      <c r="CA64" s="36">
        <v>199.505</v>
      </c>
      <c r="CB64" s="36">
        <v>344.68700000000001</v>
      </c>
      <c r="CC64" s="61">
        <f t="shared" ref="CC64" si="173">SUM(BY64:CB64)</f>
        <v>744.43100000000004</v>
      </c>
      <c r="CD64" s="36">
        <v>601.11500000000001</v>
      </c>
      <c r="CE64" s="36">
        <v>2381.9029999999998</v>
      </c>
      <c r="CF64" s="36">
        <v>819.42200000000003</v>
      </c>
      <c r="CG64" s="36">
        <v>1298.9939999999999</v>
      </c>
      <c r="CH64" s="61">
        <f>SUM(CD64:CG64)</f>
        <v>5101.4340000000002</v>
      </c>
      <c r="CI64" s="36">
        <v>998.76900000000001</v>
      </c>
      <c r="CJ64" s="36">
        <v>0</v>
      </c>
      <c r="CK64" s="36">
        <v>449.68799999999999</v>
      </c>
      <c r="CL64" s="36">
        <v>668.89499999999998</v>
      </c>
      <c r="CM64" s="61">
        <f>SUM(CI64:CL64)</f>
        <v>2117.3519999999999</v>
      </c>
      <c r="CN64" s="36">
        <v>957.92499999999995</v>
      </c>
      <c r="CO64" s="36">
        <v>1404.249</v>
      </c>
      <c r="CP64" s="36"/>
      <c r="CQ64" s="36"/>
      <c r="CR64" s="61">
        <f>SUM(CN64:CQ64)</f>
        <v>2362.174</v>
      </c>
    </row>
    <row r="65" spans="1:96" s="2" customFormat="1" ht="11.15" customHeight="1" x14ac:dyDescent="0.25">
      <c r="A65" s="21" t="s">
        <v>250</v>
      </c>
      <c r="B65" s="38"/>
      <c r="C65" s="38"/>
      <c r="D65" s="38"/>
      <c r="E65" s="38"/>
      <c r="F65" s="58"/>
      <c r="G65" s="38"/>
      <c r="H65" s="38"/>
      <c r="I65" s="38"/>
      <c r="J65" s="38"/>
      <c r="K65" s="58"/>
      <c r="L65" s="38"/>
      <c r="M65" s="38"/>
      <c r="N65" s="38"/>
      <c r="O65" s="38"/>
      <c r="P65" s="58"/>
      <c r="Q65" s="38"/>
      <c r="R65" s="38"/>
      <c r="S65" s="38"/>
      <c r="T65" s="38"/>
      <c r="U65" s="58"/>
      <c r="V65" s="38"/>
      <c r="W65" s="38"/>
      <c r="X65" s="38"/>
      <c r="Y65" s="38"/>
      <c r="Z65" s="58"/>
      <c r="AA65" s="38"/>
      <c r="AB65" s="38"/>
      <c r="AC65" s="38"/>
      <c r="AD65" s="38"/>
      <c r="AE65" s="58"/>
      <c r="AF65" s="38"/>
      <c r="AG65" s="38"/>
      <c r="AH65" s="38"/>
      <c r="AI65" s="38"/>
      <c r="AJ65" s="58"/>
      <c r="AK65" s="38"/>
      <c r="AL65" s="38"/>
      <c r="AM65" s="38"/>
      <c r="AN65" s="38"/>
      <c r="AO65" s="58"/>
      <c r="AP65" s="38"/>
      <c r="AQ65" s="38"/>
      <c r="AR65" s="38"/>
      <c r="AS65" s="38"/>
      <c r="AT65" s="58"/>
      <c r="AU65" s="38"/>
      <c r="AV65" s="38"/>
      <c r="AW65" s="38"/>
      <c r="AX65" s="38"/>
      <c r="AY65" s="58"/>
      <c r="AZ65" s="38"/>
      <c r="BA65" s="38"/>
      <c r="BB65" s="16">
        <f>BB66/BB64</f>
        <v>83.32535885167465</v>
      </c>
      <c r="BC65" s="16">
        <f>BC66/BC64</f>
        <v>89.595565322924529</v>
      </c>
      <c r="BD65" s="64">
        <f>BD66/BD64</f>
        <v>87.045361667347777</v>
      </c>
      <c r="BE65" s="16">
        <f t="shared" ref="BE65:BJ65" si="174">BE66/BE64</f>
        <v>116.42525533890436</v>
      </c>
      <c r="BF65" s="16">
        <f t="shared" si="174"/>
        <v>127.4110445657918</v>
      </c>
      <c r="BG65" s="16">
        <f t="shared" si="174"/>
        <v>161.53047091412742</v>
      </c>
      <c r="BH65" s="16">
        <f t="shared" si="174"/>
        <v>219.26720885386101</v>
      </c>
      <c r="BI65" s="64">
        <f t="shared" si="174"/>
        <v>145.14600990943575</v>
      </c>
      <c r="BJ65" s="16">
        <f t="shared" si="174"/>
        <v>242.11681825858284</v>
      </c>
      <c r="BK65" s="16">
        <f t="shared" ref="BK65:BM65" si="175">BK66/BK64</f>
        <v>235.3660388821385</v>
      </c>
      <c r="BL65" s="16">
        <f t="shared" si="175"/>
        <v>163.94776256101372</v>
      </c>
      <c r="BM65" s="16">
        <f t="shared" si="175"/>
        <v>137.63172746175584</v>
      </c>
      <c r="BN65" s="64">
        <f t="shared" ref="BN65" si="176">BN66/BN64</f>
        <v>167.39001259715255</v>
      </c>
      <c r="BO65" s="91">
        <v>0</v>
      </c>
      <c r="BP65" s="16">
        <f t="shared" ref="BP65:BU65" si="177">BP66/BP64</f>
        <v>148.50455136540961</v>
      </c>
      <c r="BQ65" s="16">
        <f t="shared" si="177"/>
        <v>130.86590632266638</v>
      </c>
      <c r="BR65" s="16">
        <f t="shared" si="177"/>
        <v>140.70604776652544</v>
      </c>
      <c r="BS65" s="64">
        <f t="shared" si="177"/>
        <v>135.2045727639065</v>
      </c>
      <c r="BT65" s="91">
        <f t="shared" si="177"/>
        <v>116.85459340740128</v>
      </c>
      <c r="BU65" s="16">
        <f t="shared" si="177"/>
        <v>118.09483211412129</v>
      </c>
      <c r="BV65" s="16">
        <f>BV66/BV64</f>
        <v>157.04711087975014</v>
      </c>
      <c r="BW65" s="16">
        <f>IFERROR(BW66/BW64,0)</f>
        <v>0</v>
      </c>
      <c r="BX65" s="64">
        <f t="shared" ref="BX65:BY65" si="178">BX66/BX64</f>
        <v>125.58509580322219</v>
      </c>
      <c r="BY65" s="91">
        <f t="shared" si="178"/>
        <v>204.48141687910908</v>
      </c>
      <c r="BZ65" s="16">
        <f>BZ66/BZ64</f>
        <v>208.72159842014105</v>
      </c>
      <c r="CA65" s="16">
        <f>CA66/CA64</f>
        <v>182.15082328763691</v>
      </c>
      <c r="CB65" s="16">
        <f>CB66/CB64</f>
        <v>164.83940502542887</v>
      </c>
      <c r="CC65" s="64">
        <f t="shared" ref="CC65:CD65" si="179">CC66/CC64</f>
        <v>181.19745147636246</v>
      </c>
      <c r="CD65" s="91">
        <f t="shared" si="179"/>
        <v>131.01819119469653</v>
      </c>
      <c r="CE65" s="91">
        <f t="shared" ref="CE65" si="180">CE66/CE64</f>
        <v>97.757549320858161</v>
      </c>
      <c r="CF65" s="91">
        <f>CF66/CF64</f>
        <v>86.986924930011639</v>
      </c>
      <c r="CG65" s="91">
        <f>CG66/CG64</f>
        <v>89.777935848818402</v>
      </c>
      <c r="CH65" s="64">
        <f>CH66/CH64</f>
        <v>97.91482159722149</v>
      </c>
      <c r="CI65" s="114">
        <v>112.29</v>
      </c>
      <c r="CJ65" s="114">
        <v>0</v>
      </c>
      <c r="CK65" s="114">
        <v>102.37</v>
      </c>
      <c r="CL65" s="114">
        <v>94.86</v>
      </c>
      <c r="CM65" s="64">
        <f>'Cash Flows Cumulative'!CL65</f>
        <v>104.68</v>
      </c>
      <c r="CN65" s="114">
        <v>92.73</v>
      </c>
      <c r="CO65" s="114">
        <v>86.32</v>
      </c>
      <c r="CP65" s="114"/>
      <c r="CQ65" s="114"/>
      <c r="CR65" s="64">
        <f>'Cash Flows Cumulative'!CO65</f>
        <v>88.92</v>
      </c>
    </row>
    <row r="66" spans="1:96" s="2" customFormat="1" ht="11.15" customHeight="1" x14ac:dyDescent="0.25">
      <c r="A66" s="26" t="str">
        <f>A44</f>
        <v>Purchase of treasury stock, at cost</v>
      </c>
      <c r="B66" s="38"/>
      <c r="C66" s="38"/>
      <c r="D66" s="38"/>
      <c r="E66" s="38"/>
      <c r="F66" s="58"/>
      <c r="G66" s="38"/>
      <c r="H66" s="38"/>
      <c r="I66" s="38"/>
      <c r="J66" s="38"/>
      <c r="K66" s="58"/>
      <c r="L66" s="38"/>
      <c r="M66" s="38"/>
      <c r="N66" s="38"/>
      <c r="O66" s="38"/>
      <c r="P66" s="58"/>
      <c r="Q66" s="38"/>
      <c r="R66" s="38"/>
      <c r="S66" s="38"/>
      <c r="T66" s="38"/>
      <c r="U66" s="58"/>
      <c r="V66" s="38"/>
      <c r="W66" s="38"/>
      <c r="X66" s="38"/>
      <c r="Y66" s="38"/>
      <c r="Z66" s="58"/>
      <c r="AA66" s="38"/>
      <c r="AB66" s="38"/>
      <c r="AC66" s="38"/>
      <c r="AD66" s="38"/>
      <c r="AE66" s="58"/>
      <c r="AF66" s="38"/>
      <c r="AG66" s="38"/>
      <c r="AH66" s="38"/>
      <c r="AI66" s="38"/>
      <c r="AJ66" s="58"/>
      <c r="AK66" s="38"/>
      <c r="AL66" s="38"/>
      <c r="AM66" s="38"/>
      <c r="AN66" s="38"/>
      <c r="AO66" s="58"/>
      <c r="AP66" s="38"/>
      <c r="AQ66" s="38"/>
      <c r="AR66" s="38"/>
      <c r="AS66" s="38"/>
      <c r="AT66" s="58"/>
      <c r="AU66" s="38"/>
      <c r="AV66" s="38"/>
      <c r="AW66" s="38"/>
      <c r="AX66" s="38"/>
      <c r="AY66" s="58"/>
      <c r="AZ66" s="38"/>
      <c r="BA66" s="38"/>
      <c r="BB66" s="34">
        <f>-BB44</f>
        <v>3483</v>
      </c>
      <c r="BC66" s="34">
        <f>-BC44</f>
        <v>5463</v>
      </c>
      <c r="BD66" s="58">
        <f t="shared" si="168"/>
        <v>8946</v>
      </c>
      <c r="BE66" s="34">
        <f>-BE44</f>
        <v>12539</v>
      </c>
      <c r="BF66" s="34">
        <f>-BF44</f>
        <v>11573</v>
      </c>
      <c r="BG66" s="34">
        <f>-BG44</f>
        <v>2799</v>
      </c>
      <c r="BH66" s="34">
        <f>-BH44</f>
        <v>13076</v>
      </c>
      <c r="BI66" s="58">
        <f t="shared" si="169"/>
        <v>39987</v>
      </c>
      <c r="BJ66" s="34">
        <f>-BJ44</f>
        <v>20071</v>
      </c>
      <c r="BK66" s="34">
        <f>-BK44</f>
        <v>30993</v>
      </c>
      <c r="BL66" s="34">
        <f>-BL44</f>
        <v>60862</v>
      </c>
      <c r="BM66" s="34">
        <f>-BM44</f>
        <v>64139</v>
      </c>
      <c r="BN66" s="58">
        <f t="shared" si="170"/>
        <v>176065</v>
      </c>
      <c r="BO66" s="34">
        <f>-BO44</f>
        <v>0</v>
      </c>
      <c r="BP66" s="34">
        <f>-BP44</f>
        <v>2284</v>
      </c>
      <c r="BQ66" s="34">
        <f>-BQ44</f>
        <v>23637</v>
      </c>
      <c r="BR66" s="34">
        <f>-BR44</f>
        <v>14811</v>
      </c>
      <c r="BS66" s="58">
        <f t="shared" ref="BS66" si="181">SUM(BO66:BR66)</f>
        <v>40732</v>
      </c>
      <c r="BT66" s="34">
        <f>-BT44</f>
        <v>12716</v>
      </c>
      <c r="BU66" s="34">
        <f>-BU44</f>
        <v>15514</v>
      </c>
      <c r="BV66" s="34">
        <f>-BV44</f>
        <v>9654</v>
      </c>
      <c r="BW66" s="34">
        <f>-BW44</f>
        <v>0</v>
      </c>
      <c r="BX66" s="58">
        <f t="shared" ref="BX66" si="182">SUM(BT66:BW66)</f>
        <v>37884</v>
      </c>
      <c r="BY66" s="34">
        <f>-BY44</f>
        <v>3048</v>
      </c>
      <c r="BZ66" s="34">
        <f>-BZ44</f>
        <v>38683</v>
      </c>
      <c r="CA66" s="34">
        <f>-CA44</f>
        <v>36340</v>
      </c>
      <c r="CB66" s="34">
        <f>-CB44</f>
        <v>56818</v>
      </c>
      <c r="CC66" s="58">
        <f>SUM(BY66:CB66)</f>
        <v>134889</v>
      </c>
      <c r="CD66" s="34">
        <f>-CD44</f>
        <v>78757</v>
      </c>
      <c r="CE66" s="34">
        <f>-CE44</f>
        <v>232849</v>
      </c>
      <c r="CF66" s="34">
        <f>-CF44</f>
        <v>71279</v>
      </c>
      <c r="CG66" s="34">
        <f>-CG44</f>
        <v>116621</v>
      </c>
      <c r="CH66" s="58">
        <f>SUM(CD66:CG66)</f>
        <v>499506</v>
      </c>
      <c r="CI66" s="34">
        <f>-CI44</f>
        <v>113094</v>
      </c>
      <c r="CJ66" s="34">
        <f>-CJ44</f>
        <v>-63</v>
      </c>
      <c r="CK66" s="34">
        <f>-CK44</f>
        <v>46497</v>
      </c>
      <c r="CL66" s="34">
        <f>-CL44</f>
        <v>63968</v>
      </c>
      <c r="CM66" s="58">
        <f>SUM(CI66:CL66)</f>
        <v>223496</v>
      </c>
      <c r="CN66" s="34">
        <f>-CN44</f>
        <v>89616</v>
      </c>
      <c r="CO66" s="34">
        <f>-CO44</f>
        <v>122404</v>
      </c>
      <c r="CP66" s="34"/>
      <c r="CQ66" s="34"/>
      <c r="CR66" s="58">
        <f>SUM(CN66:CQ66)</f>
        <v>212020</v>
      </c>
    </row>
    <row r="67" spans="1:96" s="2" customFormat="1" ht="11.15" customHeight="1" x14ac:dyDescent="0.25">
      <c r="A67" s="26" t="s">
        <v>155</v>
      </c>
      <c r="B67" s="38"/>
      <c r="C67" s="38"/>
      <c r="D67" s="38"/>
      <c r="E67" s="38"/>
      <c r="F67" s="58"/>
      <c r="G67" s="38"/>
      <c r="H67" s="38"/>
      <c r="I67" s="38"/>
      <c r="J67" s="38"/>
      <c r="K67" s="58"/>
      <c r="L67" s="38"/>
      <c r="M67" s="38"/>
      <c r="N67" s="38"/>
      <c r="O67" s="38"/>
      <c r="P67" s="58"/>
      <c r="Q67" s="38"/>
      <c r="R67" s="38"/>
      <c r="S67" s="38"/>
      <c r="T67" s="38"/>
      <c r="U67" s="58"/>
      <c r="V67" s="38"/>
      <c r="W67" s="38"/>
      <c r="X67" s="38"/>
      <c r="Y67" s="38"/>
      <c r="Z67" s="58"/>
      <c r="AA67" s="38"/>
      <c r="AB67" s="38"/>
      <c r="AC67" s="38"/>
      <c r="AD67" s="38"/>
      <c r="AE67" s="58"/>
      <c r="AF67" s="38"/>
      <c r="AG67" s="38"/>
      <c r="AH67" s="38"/>
      <c r="AI67" s="38"/>
      <c r="AJ67" s="58"/>
      <c r="AK67" s="38"/>
      <c r="AL67" s="38"/>
      <c r="AM67" s="38"/>
      <c r="AN67" s="38"/>
      <c r="AO67" s="58"/>
      <c r="AP67" s="38"/>
      <c r="AQ67" s="38"/>
      <c r="AR67" s="38"/>
      <c r="AS67" s="38"/>
      <c r="AT67" s="58"/>
      <c r="AU67" s="38"/>
      <c r="AV67" s="38"/>
      <c r="AW67" s="38"/>
      <c r="AX67" s="38"/>
      <c r="AY67" s="58"/>
      <c r="AZ67" s="38"/>
      <c r="BA67" s="38"/>
      <c r="BB67" s="34">
        <f>100000-BB66</f>
        <v>96517</v>
      </c>
      <c r="BC67" s="34">
        <f>BB67-BC66</f>
        <v>91054</v>
      </c>
      <c r="BD67" s="58">
        <f>BC67</f>
        <v>91054</v>
      </c>
      <c r="BE67" s="34">
        <f>BD67-BE66</f>
        <v>78515</v>
      </c>
      <c r="BF67" s="34">
        <f>BE67-BF66</f>
        <v>66942</v>
      </c>
      <c r="BG67" s="34">
        <f>BF67-BG66</f>
        <v>64143</v>
      </c>
      <c r="BH67" s="34">
        <f>BG67-BH66</f>
        <v>51067</v>
      </c>
      <c r="BI67" s="58">
        <f>BH67</f>
        <v>51067</v>
      </c>
      <c r="BJ67" s="34">
        <f>BI67-BJ66</f>
        <v>30996</v>
      </c>
      <c r="BK67" s="86">
        <v>0</v>
      </c>
      <c r="BL67" s="86">
        <f>BK67+125000-BL66</f>
        <v>64138</v>
      </c>
      <c r="BM67" s="34">
        <v>0</v>
      </c>
      <c r="BN67" s="58">
        <f>BM67</f>
        <v>0</v>
      </c>
      <c r="BO67" s="34">
        <f>BN67-BO66+125000</f>
        <v>125000</v>
      </c>
      <c r="BP67" s="86">
        <f>BO67-BP66</f>
        <v>122716</v>
      </c>
      <c r="BQ67" s="86">
        <f>BP67-BQ66</f>
        <v>99079</v>
      </c>
      <c r="BR67" s="34">
        <f>BQ67-BR66</f>
        <v>84268</v>
      </c>
      <c r="BS67" s="58">
        <f>BR67</f>
        <v>84268</v>
      </c>
      <c r="BT67" s="34">
        <f>BS67-BT66</f>
        <v>71552</v>
      </c>
      <c r="BU67" s="86">
        <f>BT67-BU66+200000</f>
        <v>256038</v>
      </c>
      <c r="BV67" s="86">
        <f>BU67-BV66</f>
        <v>246384</v>
      </c>
      <c r="BW67" s="86">
        <f>BV67-BW66</f>
        <v>246384</v>
      </c>
      <c r="BX67" s="58">
        <f>BW67</f>
        <v>246384</v>
      </c>
      <c r="BY67" s="34">
        <f>BX67-BY66</f>
        <v>243336</v>
      </c>
      <c r="BZ67" s="86">
        <f>BY67-BZ66</f>
        <v>204653</v>
      </c>
      <c r="CA67" s="86">
        <f>BZ67-CA66</f>
        <v>168313</v>
      </c>
      <c r="CB67" s="86">
        <f>CA67-CB66</f>
        <v>111495</v>
      </c>
      <c r="CC67" s="58">
        <f>CB67</f>
        <v>111495</v>
      </c>
      <c r="CD67" s="34">
        <f>CC67-CD66+200000</f>
        <v>232738</v>
      </c>
      <c r="CE67" s="34">
        <v>0</v>
      </c>
      <c r="CF67" s="34">
        <v>228745.30584720001</v>
      </c>
      <c r="CG67" s="34">
        <v>112152.61471689999</v>
      </c>
      <c r="CH67" s="58">
        <f>IF(ISBLANK(CG67),IF(ISBLANK(CF67),IF(ISBLANK(CE67),CD67,CE67),CF67),CG67)</f>
        <v>112152.61471689999</v>
      </c>
      <c r="CI67" s="115">
        <v>8.4941200017929083E-2</v>
      </c>
      <c r="CJ67" s="115">
        <v>200000</v>
      </c>
      <c r="CK67" s="115">
        <v>153966.4737269</v>
      </c>
      <c r="CL67" s="115">
        <v>90518.11318439999</v>
      </c>
      <c r="CM67" s="58">
        <f>IF(ISBLANK(CL67),IF(ISBLANK(CK67),IF(ISBLANK(CJ67),CI67,CJ67),CK67),CL67)</f>
        <v>90518.11318439999</v>
      </c>
      <c r="CN67" s="115">
        <v>301693.66089509998</v>
      </c>
      <c r="CO67" s="115">
        <v>180483.68365749999</v>
      </c>
      <c r="CP67" s="115"/>
      <c r="CQ67" s="34"/>
      <c r="CR67" s="58">
        <f>IF(ISBLANK(CQ67),IF(ISBLANK(CP67),IF(ISBLANK(CO67),CN67,CO67),CP67),CQ67)</f>
        <v>180483.68365749999</v>
      </c>
    </row>
    <row r="68" spans="1:96" ht="11.15" customHeight="1" thickBot="1" x14ac:dyDescent="0.25">
      <c r="A68" s="6"/>
      <c r="F68" s="68"/>
      <c r="K68" s="68"/>
      <c r="P68" s="68"/>
      <c r="U68" s="68"/>
      <c r="Z68" s="68"/>
      <c r="AE68" s="68"/>
      <c r="AJ68" s="68"/>
      <c r="AO68" s="68"/>
      <c r="AT68" s="68"/>
      <c r="AY68" s="68"/>
      <c r="BD68" s="68"/>
      <c r="BI68" s="68"/>
      <c r="BN68" s="68"/>
      <c r="BS68" s="68"/>
      <c r="BX68" s="68"/>
      <c r="CC68" s="68"/>
      <c r="CH68" s="68"/>
      <c r="CM68" s="68"/>
      <c r="CR68" s="68"/>
    </row>
    <row r="69" spans="1:96" ht="11.15" customHeight="1" x14ac:dyDescent="0.2">
      <c r="A69" s="6"/>
    </row>
    <row r="70" spans="1:96" ht="11.15" customHeight="1" x14ac:dyDescent="0.2">
      <c r="A70" s="6"/>
      <c r="CA70" s="52"/>
      <c r="CF70" s="52"/>
    </row>
    <row r="74" spans="1:96" ht="11.15" customHeight="1" x14ac:dyDescent="0.2">
      <c r="CF74" s="52"/>
    </row>
  </sheetData>
  <mergeCells count="38">
    <mergeCell ref="CN1:CR1"/>
    <mergeCell ref="CN3:CQ3"/>
    <mergeCell ref="Q1:U1"/>
    <mergeCell ref="Q3:T3"/>
    <mergeCell ref="V3:Y3"/>
    <mergeCell ref="V1:Z1"/>
    <mergeCell ref="AK3:AN3"/>
    <mergeCell ref="AP3:AS3"/>
    <mergeCell ref="AU3:AX3"/>
    <mergeCell ref="AZ3:BC3"/>
    <mergeCell ref="CI1:CM1"/>
    <mergeCell ref="CI3:CL3"/>
    <mergeCell ref="AZ1:BD1"/>
    <mergeCell ref="AK1:AO1"/>
    <mergeCell ref="BY1:CC1"/>
    <mergeCell ref="BY3:CB3"/>
    <mergeCell ref="B1:F1"/>
    <mergeCell ref="G1:K1"/>
    <mergeCell ref="L1:P1"/>
    <mergeCell ref="B3:E3"/>
    <mergeCell ref="G3:J3"/>
    <mergeCell ref="L3:O3"/>
    <mergeCell ref="AA1:AE1"/>
    <mergeCell ref="AF1:AJ1"/>
    <mergeCell ref="BJ1:BN1"/>
    <mergeCell ref="BJ3:BM3"/>
    <mergeCell ref="CD1:CH1"/>
    <mergeCell ref="CD3:CG3"/>
    <mergeCell ref="AA3:AD3"/>
    <mergeCell ref="AP1:AT1"/>
    <mergeCell ref="AF3:AI3"/>
    <mergeCell ref="AU1:AY1"/>
    <mergeCell ref="BT1:BX1"/>
    <mergeCell ref="BT3:BW3"/>
    <mergeCell ref="BO1:BS1"/>
    <mergeCell ref="BO3:BR3"/>
    <mergeCell ref="BE1:BI1"/>
    <mergeCell ref="BE3:BH3"/>
  </mergeCells>
  <printOptions horizontalCentered="1"/>
  <pageMargins left="0.25" right="0.25" top="0.75" bottom="0.75" header="0.3" footer="0.3"/>
  <pageSetup paperSize="5" scale="54" orientation="landscape" r:id="rId1"/>
  <headerFooter alignWithMargins="0">
    <oddHeader>&amp;L&amp;G</oddHeader>
  </headerFooter>
  <ignoredErrors>
    <ignoredError sqref="F46:BI55 BD65:BI67 BN65:BN66 BN58:BP63 BN46:BP55 BS65:BT67 BS46:BS62 BS24:BS32 BN24:BP32 F24:BI32 BS34:BS44 BN34:BP44 F34:BI44" 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 fitToPage="1"/>
  </sheetPr>
  <dimension ref="A1:CR118"/>
  <sheetViews>
    <sheetView zoomScale="110" zoomScaleNormal="110" zoomScaleSheetLayoutView="100" workbookViewId="0">
      <pane xSplit="1" ySplit="4" topLeftCell="BD5" activePane="bottomRight" state="frozen"/>
      <selection activeCell="A4" sqref="A4"/>
      <selection pane="topRight" activeCell="A4" sqref="A4"/>
      <selection pane="bottomLeft" activeCell="A4" sqref="A4"/>
      <selection pane="bottomRight" activeCell="CO81" sqref="CO81"/>
    </sheetView>
  </sheetViews>
  <sheetFormatPr defaultColWidth="9.7265625" defaultRowHeight="11.15" customHeight="1" outlineLevelCol="1" x14ac:dyDescent="0.2"/>
  <cols>
    <col min="1" max="1" width="40.7265625" style="1" customWidth="1"/>
    <col min="2" max="5" width="9.7265625" style="1" hidden="1" customWidth="1" outlineLevel="1"/>
    <col min="6" max="6" width="9.7265625" style="1" collapsed="1"/>
    <col min="7" max="10" width="9.7265625" style="1" hidden="1" customWidth="1" outlineLevel="1"/>
    <col min="11" max="11" width="9.7265625" style="1" collapsed="1"/>
    <col min="12" max="15" width="9.7265625" style="1" hidden="1" customWidth="1" outlineLevel="1"/>
    <col min="16" max="16" width="9.7265625" style="1" collapsed="1"/>
    <col min="17" max="20" width="9.7265625" style="1" hidden="1" customWidth="1" outlineLevel="1"/>
    <col min="21" max="21" width="9.7265625" style="1" collapsed="1"/>
    <col min="22" max="25" width="9.7265625" style="1" hidden="1" customWidth="1" outlineLevel="1"/>
    <col min="26" max="26" width="9.7265625" style="1" collapsed="1"/>
    <col min="27" max="30" width="9.7265625" style="1" hidden="1" customWidth="1" outlineLevel="1"/>
    <col min="31" max="31" width="9.7265625" style="1" collapsed="1"/>
    <col min="32" max="35" width="9.7265625" style="1" hidden="1" customWidth="1" outlineLevel="1"/>
    <col min="36" max="36" width="9.7265625" style="1" collapsed="1"/>
    <col min="37" max="40" width="9.7265625" style="1" hidden="1" customWidth="1" outlineLevel="1"/>
    <col min="41" max="41" width="9.7265625" style="1" collapsed="1"/>
    <col min="42" max="45" width="9.7265625" style="1" hidden="1" customWidth="1" outlineLevel="1"/>
    <col min="46" max="46" width="9.7265625" style="1" collapsed="1"/>
    <col min="47" max="50" width="9.7265625" style="1" hidden="1" customWidth="1" outlineLevel="1"/>
    <col min="51" max="51" width="9.7265625" style="1" collapsed="1"/>
    <col min="52" max="55" width="9.7265625" style="1" hidden="1" customWidth="1" outlineLevel="1"/>
    <col min="56" max="56" width="9.7265625" style="1" collapsed="1"/>
    <col min="57" max="60" width="9.7265625" style="1" hidden="1" customWidth="1" outlineLevel="1"/>
    <col min="61" max="61" width="9.7265625" style="1" collapsed="1"/>
    <col min="62" max="65" width="9.7265625" style="1" hidden="1" customWidth="1" outlineLevel="1"/>
    <col min="66" max="66" width="9.7265625" style="1" collapsed="1"/>
    <col min="67" max="70" width="9.7265625" style="1" hidden="1" customWidth="1" outlineLevel="1"/>
    <col min="71" max="71" width="9.7265625" style="1" collapsed="1"/>
    <col min="72" max="75" width="9.7265625" style="1" hidden="1" customWidth="1" outlineLevel="1"/>
    <col min="76" max="76" width="10.7265625" style="1" bestFit="1" customWidth="1" collapsed="1"/>
    <col min="77" max="80" width="9.7265625" style="1" hidden="1" customWidth="1" outlineLevel="1"/>
    <col min="81" max="81" width="12.7265625" style="1" bestFit="1" customWidth="1" collapsed="1"/>
    <col min="82" max="85" width="9.7265625" style="1" hidden="1" customWidth="1" outlineLevel="1"/>
    <col min="86" max="86" width="12.7265625" style="1" bestFit="1" customWidth="1" collapsed="1"/>
    <col min="87" max="90" width="9.7265625" style="1" hidden="1" customWidth="1" outlineLevel="1"/>
    <col min="91" max="91" width="9.7265625" style="1" collapsed="1"/>
    <col min="92" max="95" width="9.7265625" style="1" customWidth="1" outlineLevel="1"/>
    <col min="96" max="16384" width="9.7265625" style="1"/>
  </cols>
  <sheetData>
    <row r="1" spans="1:96" ht="11.15" customHeight="1" thickBot="1" x14ac:dyDescent="0.3">
      <c r="A1" s="22" t="s">
        <v>44</v>
      </c>
      <c r="B1" s="118" t="s">
        <v>40</v>
      </c>
      <c r="C1" s="119"/>
      <c r="D1" s="119"/>
      <c r="E1" s="119"/>
      <c r="F1" s="120"/>
      <c r="G1" s="118" t="s">
        <v>41</v>
      </c>
      <c r="H1" s="119"/>
      <c r="I1" s="119"/>
      <c r="J1" s="119"/>
      <c r="K1" s="120"/>
      <c r="L1" s="118" t="s">
        <v>42</v>
      </c>
      <c r="M1" s="119"/>
      <c r="N1" s="119"/>
      <c r="O1" s="119"/>
      <c r="P1" s="120"/>
      <c r="Q1" s="118" t="s">
        <v>43</v>
      </c>
      <c r="R1" s="119"/>
      <c r="S1" s="119"/>
      <c r="T1" s="119"/>
      <c r="U1" s="120"/>
      <c r="V1" s="118" t="s">
        <v>11</v>
      </c>
      <c r="W1" s="119"/>
      <c r="X1" s="119"/>
      <c r="Y1" s="119"/>
      <c r="Z1" s="120"/>
      <c r="AA1" s="118" t="s">
        <v>10</v>
      </c>
      <c r="AB1" s="119"/>
      <c r="AC1" s="119"/>
      <c r="AD1" s="119"/>
      <c r="AE1" s="120"/>
      <c r="AF1" s="118" t="s">
        <v>9</v>
      </c>
      <c r="AG1" s="119"/>
      <c r="AH1" s="119"/>
      <c r="AI1" s="119"/>
      <c r="AJ1" s="120"/>
      <c r="AK1" s="118" t="s">
        <v>8</v>
      </c>
      <c r="AL1" s="119"/>
      <c r="AM1" s="119"/>
      <c r="AN1" s="119"/>
      <c r="AO1" s="120"/>
      <c r="AP1" s="118" t="s">
        <v>7</v>
      </c>
      <c r="AQ1" s="119"/>
      <c r="AR1" s="119"/>
      <c r="AS1" s="119"/>
      <c r="AT1" s="120"/>
      <c r="AU1" s="118" t="s">
        <v>6</v>
      </c>
      <c r="AV1" s="119"/>
      <c r="AW1" s="119"/>
      <c r="AX1" s="119"/>
      <c r="AY1" s="120"/>
      <c r="AZ1" s="118" t="s">
        <v>22</v>
      </c>
      <c r="BA1" s="119"/>
      <c r="BB1" s="119"/>
      <c r="BC1" s="119"/>
      <c r="BD1" s="120"/>
      <c r="BE1" s="118" t="s">
        <v>122</v>
      </c>
      <c r="BF1" s="119"/>
      <c r="BG1" s="119"/>
      <c r="BH1" s="119"/>
      <c r="BI1" s="120"/>
      <c r="BJ1" s="118" t="s">
        <v>153</v>
      </c>
      <c r="BK1" s="119"/>
      <c r="BL1" s="119"/>
      <c r="BM1" s="119"/>
      <c r="BN1" s="120"/>
      <c r="BO1" s="118" t="s">
        <v>162</v>
      </c>
      <c r="BP1" s="119"/>
      <c r="BQ1" s="119"/>
      <c r="BR1" s="119"/>
      <c r="BS1" s="120"/>
      <c r="BT1" s="118" t="s">
        <v>215</v>
      </c>
      <c r="BU1" s="119"/>
      <c r="BV1" s="119"/>
      <c r="BW1" s="119"/>
      <c r="BX1" s="120"/>
      <c r="BY1" s="118" t="s">
        <v>221</v>
      </c>
      <c r="BZ1" s="119"/>
      <c r="CA1" s="119"/>
      <c r="CB1" s="119"/>
      <c r="CC1" s="120"/>
      <c r="CD1" s="118" t="s">
        <v>222</v>
      </c>
      <c r="CE1" s="119"/>
      <c r="CF1" s="119"/>
      <c r="CG1" s="119"/>
      <c r="CH1" s="120"/>
      <c r="CI1" s="118" t="s">
        <v>242</v>
      </c>
      <c r="CJ1" s="119"/>
      <c r="CK1" s="119"/>
      <c r="CL1" s="119"/>
      <c r="CM1" s="120"/>
      <c r="CN1" s="118" t="s">
        <v>254</v>
      </c>
      <c r="CO1" s="119"/>
      <c r="CP1" s="119"/>
      <c r="CQ1" s="119"/>
      <c r="CR1" s="120"/>
    </row>
    <row r="2" spans="1:96" ht="11.15" customHeight="1" thickBot="1" x14ac:dyDescent="0.3">
      <c r="A2" s="1" t="s">
        <v>38</v>
      </c>
      <c r="B2" s="2"/>
      <c r="G2" s="2"/>
      <c r="L2" s="2"/>
      <c r="Q2" s="2"/>
      <c r="V2" s="2"/>
      <c r="AB2" s="2"/>
      <c r="BK2" s="2"/>
      <c r="BP2" s="2"/>
      <c r="BU2" s="2"/>
      <c r="BZ2" s="2"/>
      <c r="CE2" s="2"/>
      <c r="CJ2" s="2"/>
      <c r="CO2" s="2"/>
    </row>
    <row r="3" spans="1:96" ht="11.15" customHeight="1" x14ac:dyDescent="0.25">
      <c r="A3" s="1" t="s">
        <v>39</v>
      </c>
      <c r="B3" s="121" t="s">
        <v>0</v>
      </c>
      <c r="C3" s="121"/>
      <c r="D3" s="121"/>
      <c r="E3" s="121"/>
      <c r="F3" s="56" t="s">
        <v>5</v>
      </c>
      <c r="G3" s="121" t="s">
        <v>0</v>
      </c>
      <c r="H3" s="121"/>
      <c r="I3" s="121"/>
      <c r="J3" s="121"/>
      <c r="K3" s="56" t="s">
        <v>5</v>
      </c>
      <c r="L3" s="121" t="s">
        <v>0</v>
      </c>
      <c r="M3" s="121"/>
      <c r="N3" s="121"/>
      <c r="O3" s="121"/>
      <c r="P3" s="56" t="s">
        <v>5</v>
      </c>
      <c r="Q3" s="121" t="s">
        <v>0</v>
      </c>
      <c r="R3" s="121"/>
      <c r="S3" s="121"/>
      <c r="T3" s="121"/>
      <c r="U3" s="56" t="s">
        <v>5</v>
      </c>
      <c r="V3" s="121" t="s">
        <v>0</v>
      </c>
      <c r="W3" s="121"/>
      <c r="X3" s="121"/>
      <c r="Y3" s="121"/>
      <c r="Z3" s="56" t="s">
        <v>5</v>
      </c>
      <c r="AA3" s="121" t="s">
        <v>0</v>
      </c>
      <c r="AB3" s="121"/>
      <c r="AC3" s="121"/>
      <c r="AD3" s="121"/>
      <c r="AE3" s="56" t="s">
        <v>5</v>
      </c>
      <c r="AF3" s="121" t="s">
        <v>0</v>
      </c>
      <c r="AG3" s="121"/>
      <c r="AH3" s="121"/>
      <c r="AI3" s="121"/>
      <c r="AJ3" s="56" t="s">
        <v>5</v>
      </c>
      <c r="AK3" s="121" t="s">
        <v>0</v>
      </c>
      <c r="AL3" s="121"/>
      <c r="AM3" s="121"/>
      <c r="AN3" s="121"/>
      <c r="AO3" s="56" t="s">
        <v>5</v>
      </c>
      <c r="AP3" s="121" t="s">
        <v>0</v>
      </c>
      <c r="AQ3" s="121"/>
      <c r="AR3" s="121"/>
      <c r="AS3" s="121"/>
      <c r="AT3" s="56" t="s">
        <v>5</v>
      </c>
      <c r="AU3" s="121" t="s">
        <v>0</v>
      </c>
      <c r="AV3" s="121"/>
      <c r="AW3" s="121"/>
      <c r="AX3" s="121"/>
      <c r="AY3" s="56" t="s">
        <v>5</v>
      </c>
      <c r="AZ3" s="121" t="s">
        <v>0</v>
      </c>
      <c r="BA3" s="121"/>
      <c r="BB3" s="121"/>
      <c r="BC3" s="121"/>
      <c r="BD3" s="56" t="s">
        <v>5</v>
      </c>
      <c r="BE3" s="121" t="s">
        <v>0</v>
      </c>
      <c r="BF3" s="121"/>
      <c r="BG3" s="121"/>
      <c r="BH3" s="121"/>
      <c r="BI3" s="56" t="s">
        <v>5</v>
      </c>
      <c r="BJ3" s="121" t="s">
        <v>0</v>
      </c>
      <c r="BK3" s="121"/>
      <c r="BL3" s="121"/>
      <c r="BM3" s="121"/>
      <c r="BN3" s="56" t="s">
        <v>5</v>
      </c>
      <c r="BO3" s="121" t="s">
        <v>0</v>
      </c>
      <c r="BP3" s="121"/>
      <c r="BQ3" s="121"/>
      <c r="BR3" s="121"/>
      <c r="BS3" s="56" t="s">
        <v>5</v>
      </c>
      <c r="BT3" s="121" t="s">
        <v>0</v>
      </c>
      <c r="BU3" s="121"/>
      <c r="BV3" s="121"/>
      <c r="BW3" s="121"/>
      <c r="BX3" s="56" t="s">
        <v>5</v>
      </c>
      <c r="BY3" s="121" t="s">
        <v>0</v>
      </c>
      <c r="BZ3" s="121"/>
      <c r="CA3" s="121"/>
      <c r="CB3" s="121"/>
      <c r="CC3" s="56" t="s">
        <v>5</v>
      </c>
      <c r="CD3" s="121" t="s">
        <v>0</v>
      </c>
      <c r="CE3" s="121"/>
      <c r="CF3" s="121"/>
      <c r="CG3" s="121"/>
      <c r="CH3" s="56" t="s">
        <v>5</v>
      </c>
      <c r="CI3" s="121" t="s">
        <v>0</v>
      </c>
      <c r="CJ3" s="121"/>
      <c r="CK3" s="121"/>
      <c r="CL3" s="121"/>
      <c r="CM3" s="56" t="s">
        <v>5</v>
      </c>
      <c r="CN3" s="121" t="s">
        <v>0</v>
      </c>
      <c r="CO3" s="121"/>
      <c r="CP3" s="121"/>
      <c r="CQ3" s="121"/>
      <c r="CR3" s="56" t="s">
        <v>5</v>
      </c>
    </row>
    <row r="4" spans="1:96" s="2" customFormat="1" ht="11.15" customHeight="1" x14ac:dyDescent="0.25">
      <c r="A4" s="6"/>
      <c r="B4" s="3">
        <v>38807</v>
      </c>
      <c r="C4" s="3">
        <v>38898</v>
      </c>
      <c r="D4" s="3">
        <v>38990</v>
      </c>
      <c r="E4" s="3">
        <v>39082</v>
      </c>
      <c r="F4" s="57">
        <v>39082</v>
      </c>
      <c r="G4" s="3">
        <v>39172</v>
      </c>
      <c r="H4" s="3">
        <v>39263</v>
      </c>
      <c r="I4" s="3">
        <v>39355</v>
      </c>
      <c r="J4" s="3">
        <v>39447</v>
      </c>
      <c r="K4" s="57">
        <v>39447</v>
      </c>
      <c r="L4" s="3">
        <v>39538</v>
      </c>
      <c r="M4" s="3">
        <v>39629</v>
      </c>
      <c r="N4" s="3">
        <v>39721</v>
      </c>
      <c r="O4" s="3">
        <v>39813</v>
      </c>
      <c r="P4" s="57">
        <v>39813</v>
      </c>
      <c r="Q4" s="3">
        <v>39903</v>
      </c>
      <c r="R4" s="3">
        <v>39994</v>
      </c>
      <c r="S4" s="3">
        <v>40086</v>
      </c>
      <c r="T4" s="3">
        <v>40178</v>
      </c>
      <c r="U4" s="57">
        <v>40178</v>
      </c>
      <c r="V4" s="3">
        <v>40268</v>
      </c>
      <c r="W4" s="3">
        <v>40359</v>
      </c>
      <c r="X4" s="3">
        <v>40451</v>
      </c>
      <c r="Y4" s="3">
        <v>40543</v>
      </c>
      <c r="Z4" s="57">
        <v>40543</v>
      </c>
      <c r="AA4" s="3">
        <v>40633</v>
      </c>
      <c r="AB4" s="3">
        <v>40724</v>
      </c>
      <c r="AC4" s="3">
        <v>40816</v>
      </c>
      <c r="AD4" s="3">
        <v>40908</v>
      </c>
      <c r="AE4" s="57">
        <v>40908</v>
      </c>
      <c r="AF4" s="3">
        <v>40999</v>
      </c>
      <c r="AG4" s="3">
        <v>41090</v>
      </c>
      <c r="AH4" s="3">
        <v>41182</v>
      </c>
      <c r="AI4" s="3">
        <v>41274</v>
      </c>
      <c r="AJ4" s="57">
        <v>41274</v>
      </c>
      <c r="AK4" s="3">
        <v>41364</v>
      </c>
      <c r="AL4" s="3">
        <v>41455</v>
      </c>
      <c r="AM4" s="3">
        <v>41547</v>
      </c>
      <c r="AN4" s="3">
        <v>41639</v>
      </c>
      <c r="AO4" s="57">
        <v>41639</v>
      </c>
      <c r="AP4" s="3">
        <v>41729</v>
      </c>
      <c r="AQ4" s="3">
        <v>41820</v>
      </c>
      <c r="AR4" s="3">
        <v>41912</v>
      </c>
      <c r="AS4" s="3">
        <v>42004</v>
      </c>
      <c r="AT4" s="57">
        <v>42004</v>
      </c>
      <c r="AU4" s="3">
        <v>42094</v>
      </c>
      <c r="AV4" s="3">
        <v>42185</v>
      </c>
      <c r="AW4" s="3">
        <v>42277</v>
      </c>
      <c r="AX4" s="3">
        <v>42369</v>
      </c>
      <c r="AY4" s="57">
        <v>42369</v>
      </c>
      <c r="AZ4" s="3">
        <v>42460</v>
      </c>
      <c r="BA4" s="3">
        <v>42551</v>
      </c>
      <c r="BB4" s="3">
        <v>42643</v>
      </c>
      <c r="BC4" s="3">
        <v>42735</v>
      </c>
      <c r="BD4" s="57">
        <v>42735</v>
      </c>
      <c r="BE4" s="3">
        <v>42825</v>
      </c>
      <c r="BF4" s="3">
        <v>42916</v>
      </c>
      <c r="BG4" s="3">
        <v>43008</v>
      </c>
      <c r="BH4" s="3">
        <v>43100</v>
      </c>
      <c r="BI4" s="57">
        <v>42735</v>
      </c>
      <c r="BJ4" s="3">
        <v>43190</v>
      </c>
      <c r="BK4" s="3">
        <v>43281</v>
      </c>
      <c r="BL4" s="3">
        <v>43373</v>
      </c>
      <c r="BM4" s="3">
        <v>43465</v>
      </c>
      <c r="BN4" s="57">
        <v>43465</v>
      </c>
      <c r="BO4" s="3">
        <v>43555</v>
      </c>
      <c r="BP4" s="3">
        <v>43646</v>
      </c>
      <c r="BQ4" s="3">
        <v>43738</v>
      </c>
      <c r="BR4" s="3">
        <v>43830</v>
      </c>
      <c r="BS4" s="57">
        <v>43830</v>
      </c>
      <c r="BT4" s="3">
        <v>43921</v>
      </c>
      <c r="BU4" s="3">
        <v>44012</v>
      </c>
      <c r="BV4" s="3">
        <v>44104</v>
      </c>
      <c r="BW4" s="3">
        <v>44196</v>
      </c>
      <c r="BX4" s="57">
        <v>44196</v>
      </c>
      <c r="BY4" s="3">
        <v>44286</v>
      </c>
      <c r="BZ4" s="3">
        <v>44377</v>
      </c>
      <c r="CA4" s="3">
        <v>44469</v>
      </c>
      <c r="CB4" s="3">
        <v>44561</v>
      </c>
      <c r="CC4" s="57">
        <v>44561</v>
      </c>
      <c r="CD4" s="3">
        <v>44651</v>
      </c>
      <c r="CE4" s="3">
        <v>44742</v>
      </c>
      <c r="CF4" s="3">
        <v>44834</v>
      </c>
      <c r="CG4" s="3">
        <v>44926</v>
      </c>
      <c r="CH4" s="57">
        <v>44926</v>
      </c>
      <c r="CI4" s="3">
        <v>45016</v>
      </c>
      <c r="CJ4" s="3">
        <v>45107</v>
      </c>
      <c r="CK4" s="3">
        <v>45199</v>
      </c>
      <c r="CL4" s="3">
        <v>45291</v>
      </c>
      <c r="CM4" s="57">
        <v>45291</v>
      </c>
      <c r="CN4" s="3">
        <v>45382</v>
      </c>
      <c r="CO4" s="3">
        <v>45473</v>
      </c>
      <c r="CP4" s="3">
        <v>45565</v>
      </c>
      <c r="CQ4" s="3">
        <v>45657</v>
      </c>
      <c r="CR4" s="57">
        <v>45657</v>
      </c>
    </row>
    <row r="5" spans="1:96" s="30" customFormat="1" ht="11.15" customHeight="1" x14ac:dyDescent="0.25">
      <c r="A5" s="35" t="s">
        <v>36</v>
      </c>
      <c r="B5" s="28"/>
      <c r="C5" s="28"/>
      <c r="D5" s="29"/>
      <c r="E5" s="29"/>
      <c r="F5" s="75"/>
      <c r="G5" s="28"/>
      <c r="H5" s="28"/>
      <c r="I5" s="29"/>
      <c r="J5" s="29"/>
      <c r="K5" s="75"/>
      <c r="L5" s="28"/>
      <c r="M5" s="28"/>
      <c r="N5" s="29"/>
      <c r="O5" s="29"/>
      <c r="P5" s="75"/>
      <c r="Q5" s="28"/>
      <c r="R5" s="28"/>
      <c r="S5" s="29"/>
      <c r="T5" s="29"/>
      <c r="U5" s="75"/>
      <c r="V5" s="28"/>
      <c r="W5" s="28"/>
      <c r="X5" s="29"/>
      <c r="Y5" s="29"/>
      <c r="Z5" s="75"/>
      <c r="AA5" s="28"/>
      <c r="AB5" s="28"/>
      <c r="AC5" s="29"/>
      <c r="AD5" s="29"/>
      <c r="AE5" s="75"/>
      <c r="AF5" s="28"/>
      <c r="AG5" s="28"/>
      <c r="AH5" s="29"/>
      <c r="AI5" s="29"/>
      <c r="AJ5" s="75"/>
      <c r="AK5" s="28"/>
      <c r="AL5" s="28"/>
      <c r="AM5" s="29"/>
      <c r="AN5" s="29"/>
      <c r="AO5" s="75"/>
      <c r="AP5" s="28"/>
      <c r="AQ5" s="28"/>
      <c r="AR5" s="29"/>
      <c r="AS5" s="29"/>
      <c r="AT5" s="75"/>
      <c r="AU5" s="28"/>
      <c r="AV5" s="28"/>
      <c r="AW5" s="29"/>
      <c r="AX5" s="29"/>
      <c r="AY5" s="75"/>
      <c r="AZ5" s="28"/>
      <c r="BA5" s="28"/>
      <c r="BB5" s="29"/>
      <c r="BC5" s="29"/>
      <c r="BD5" s="75"/>
      <c r="BE5" s="28"/>
      <c r="BF5" s="28"/>
      <c r="BG5" s="29"/>
      <c r="BH5" s="29"/>
      <c r="BI5" s="75"/>
      <c r="BJ5" s="28"/>
      <c r="BK5" s="89"/>
      <c r="BL5" s="89"/>
      <c r="BM5" s="89"/>
      <c r="BN5" s="75"/>
      <c r="BO5" s="89"/>
      <c r="BP5" s="28"/>
      <c r="BQ5" s="29"/>
      <c r="BR5" s="29"/>
      <c r="BS5" s="75"/>
      <c r="BT5" s="89"/>
      <c r="BU5" s="28"/>
      <c r="BV5" s="29"/>
      <c r="BW5" s="29"/>
      <c r="BX5" s="75"/>
      <c r="BY5" s="89"/>
      <c r="BZ5" s="28"/>
      <c r="CA5" s="29"/>
      <c r="CB5" s="29"/>
      <c r="CC5" s="75"/>
      <c r="CD5" s="89"/>
      <c r="CE5" s="28"/>
      <c r="CF5" s="29"/>
      <c r="CG5" s="29"/>
      <c r="CH5" s="75"/>
      <c r="CI5" s="89"/>
      <c r="CJ5" s="28"/>
      <c r="CK5" s="29"/>
      <c r="CL5" s="29"/>
      <c r="CM5" s="75"/>
      <c r="CN5" s="89"/>
      <c r="CO5" s="28"/>
      <c r="CP5" s="29"/>
      <c r="CQ5" s="29"/>
      <c r="CR5" s="75"/>
    </row>
    <row r="6" spans="1:96" s="30" customFormat="1" ht="11.15" customHeight="1" x14ac:dyDescent="0.2">
      <c r="A6" s="7" t="s">
        <v>244</v>
      </c>
      <c r="B6" s="8"/>
      <c r="C6" s="8"/>
      <c r="D6" s="8"/>
      <c r="E6" s="8"/>
      <c r="F6" s="70">
        <v>45519</v>
      </c>
      <c r="G6" s="8"/>
      <c r="H6" s="8"/>
      <c r="I6" s="8"/>
      <c r="J6" s="8"/>
      <c r="K6" s="70">
        <v>53272</v>
      </c>
      <c r="L6" s="8"/>
      <c r="M6" s="8"/>
      <c r="N6" s="8"/>
      <c r="O6" s="8"/>
      <c r="P6" s="70">
        <v>52018</v>
      </c>
      <c r="Q6" s="8"/>
      <c r="R6" s="8"/>
      <c r="S6" s="8"/>
      <c r="T6" s="8"/>
      <c r="U6" s="70">
        <v>45668</v>
      </c>
      <c r="V6" s="8"/>
      <c r="W6" s="8"/>
      <c r="X6" s="8"/>
      <c r="Y6" s="8"/>
      <c r="Z6" s="70">
        <v>61706</v>
      </c>
      <c r="AA6" s="8"/>
      <c r="AB6" s="8"/>
      <c r="AC6" s="8"/>
      <c r="AD6" s="8"/>
      <c r="AE6" s="70">
        <v>86181</v>
      </c>
      <c r="AF6" s="8"/>
      <c r="AG6" s="8"/>
      <c r="AH6" s="8"/>
      <c r="AI6" s="8"/>
      <c r="AJ6" s="70">
        <v>108316</v>
      </c>
      <c r="AK6" s="40">
        <v>24231</v>
      </c>
      <c r="AL6" s="40">
        <v>28647</v>
      </c>
      <c r="AM6" s="40">
        <v>31397</v>
      </c>
      <c r="AN6" s="40">
        <v>28778</v>
      </c>
      <c r="AO6" s="58">
        <f t="shared" ref="AO6:AO12" si="0">SUM(AK6:AN6)</f>
        <v>113053</v>
      </c>
      <c r="AP6" s="40">
        <v>22848</v>
      </c>
      <c r="AQ6" s="40">
        <v>24765</v>
      </c>
      <c r="AR6" s="40">
        <v>25111</v>
      </c>
      <c r="AS6" s="40">
        <v>39038</v>
      </c>
      <c r="AT6" s="58">
        <f t="shared" ref="AT6:AT12" si="1">SUM(AP6:AS6)</f>
        <v>111762</v>
      </c>
      <c r="AU6" s="40">
        <v>28638</v>
      </c>
      <c r="AV6" s="40">
        <v>26693</v>
      </c>
      <c r="AW6" s="40">
        <v>36255</v>
      </c>
      <c r="AX6" s="40">
        <v>39938</v>
      </c>
      <c r="AY6" s="58">
        <f t="shared" ref="AY6:AY12" si="2">SUM(AU6:AX6)</f>
        <v>131524</v>
      </c>
      <c r="AZ6" s="40">
        <v>31727</v>
      </c>
      <c r="BA6" s="40">
        <v>32341</v>
      </c>
      <c r="BB6" s="40">
        <v>36738</v>
      </c>
      <c r="BC6" s="40">
        <v>40378</v>
      </c>
      <c r="BD6" s="58">
        <f t="shared" ref="BD6:BD13" si="3">SUM(AZ6:BC6)</f>
        <v>141184</v>
      </c>
      <c r="BE6" s="40">
        <v>37905</v>
      </c>
      <c r="BF6" s="40">
        <v>38964</v>
      </c>
      <c r="BG6" s="40">
        <v>41563</v>
      </c>
      <c r="BH6" s="40">
        <v>46924</v>
      </c>
      <c r="BI6" s="58">
        <f t="shared" ref="BI6:BI13" si="4">SUM(BE6:BH6)</f>
        <v>165356</v>
      </c>
      <c r="BJ6" s="40">
        <v>39177</v>
      </c>
      <c r="BK6" s="40">
        <v>47766</v>
      </c>
      <c r="BL6" s="40">
        <v>53762</v>
      </c>
      <c r="BM6" s="40">
        <v>62037</v>
      </c>
      <c r="BN6" s="58">
        <f t="shared" ref="BN6:BN13" si="5">SUM(BJ6:BM6)</f>
        <v>202742</v>
      </c>
      <c r="BO6" s="40">
        <v>64807</v>
      </c>
      <c r="BP6" s="40">
        <v>64140</v>
      </c>
      <c r="BQ6" s="40">
        <v>71000</v>
      </c>
      <c r="BR6" s="40">
        <v>80939</v>
      </c>
      <c r="BS6" s="58">
        <f t="shared" ref="BS6:BS13" si="6">SUM(BO6:BR6)</f>
        <v>280886</v>
      </c>
      <c r="BT6" s="40">
        <v>67339</v>
      </c>
      <c r="BU6" s="40">
        <v>53901</v>
      </c>
      <c r="BV6" s="40">
        <v>52732</v>
      </c>
      <c r="BW6" s="40">
        <v>72217</v>
      </c>
      <c r="BX6" s="58">
        <f t="shared" ref="BX6:BX13" si="7">SUM(BT6:BW6)</f>
        <v>246189</v>
      </c>
      <c r="BY6" s="40">
        <v>73384</v>
      </c>
      <c r="BZ6" s="40">
        <v>66134</v>
      </c>
      <c r="CA6" s="40">
        <v>81605</v>
      </c>
      <c r="CB6" s="40">
        <v>93861</v>
      </c>
      <c r="CC6" s="58">
        <f t="shared" ref="CC6:CC13" si="8">SUM(BY6:CB6)</f>
        <v>314984</v>
      </c>
      <c r="CD6" s="40">
        <v>77225</v>
      </c>
      <c r="CE6" s="40">
        <v>88151</v>
      </c>
      <c r="CF6" s="40">
        <v>82119</v>
      </c>
      <c r="CG6" s="40">
        <v>91218</v>
      </c>
      <c r="CH6" s="58">
        <f>SUM(CD6:CG6)</f>
        <v>338713</v>
      </c>
      <c r="CI6" s="40">
        <v>76080</v>
      </c>
      <c r="CJ6" s="40">
        <v>78220</v>
      </c>
      <c r="CK6" s="40">
        <v>71349</v>
      </c>
      <c r="CL6" s="40">
        <v>88337</v>
      </c>
      <c r="CM6" s="58">
        <f>SUM(CI6:CL6)</f>
        <v>313986</v>
      </c>
      <c r="CN6" s="40">
        <v>63964</v>
      </c>
      <c r="CO6" s="40">
        <v>76905</v>
      </c>
      <c r="CP6" s="40"/>
      <c r="CQ6" s="40"/>
      <c r="CR6" s="58">
        <f>SUM(CN6:CQ6)</f>
        <v>140869</v>
      </c>
    </row>
    <row r="7" spans="1:96" ht="11.15" customHeight="1" x14ac:dyDescent="0.2">
      <c r="A7" s="7" t="s">
        <v>37</v>
      </c>
      <c r="B7" s="11"/>
      <c r="C7" s="11"/>
      <c r="D7" s="11"/>
      <c r="E7" s="11"/>
      <c r="F7" s="65">
        <v>24454</v>
      </c>
      <c r="G7" s="11"/>
      <c r="H7" s="11"/>
      <c r="I7" s="11"/>
      <c r="J7" s="11"/>
      <c r="K7" s="65">
        <v>33450</v>
      </c>
      <c r="L7" s="11"/>
      <c r="M7" s="11"/>
      <c r="N7" s="11"/>
      <c r="O7" s="11"/>
      <c r="P7" s="65">
        <v>44771</v>
      </c>
      <c r="Q7" s="11"/>
      <c r="R7" s="11"/>
      <c r="S7" s="11"/>
      <c r="T7" s="11"/>
      <c r="U7" s="65">
        <v>28242</v>
      </c>
      <c r="V7" s="11"/>
      <c r="W7" s="11"/>
      <c r="X7" s="11"/>
      <c r="Y7" s="11"/>
      <c r="Z7" s="65">
        <v>46282</v>
      </c>
      <c r="AA7" s="11"/>
      <c r="AB7" s="11"/>
      <c r="AC7" s="11"/>
      <c r="AD7" s="11"/>
      <c r="AE7" s="65">
        <v>76279</v>
      </c>
      <c r="AF7" s="11"/>
      <c r="AG7" s="11"/>
      <c r="AH7" s="11"/>
      <c r="AI7" s="11"/>
      <c r="AJ7" s="65">
        <v>89848</v>
      </c>
      <c r="AK7" s="36">
        <v>14618</v>
      </c>
      <c r="AL7" s="36">
        <v>16231</v>
      </c>
      <c r="AM7" s="36">
        <v>17926</v>
      </c>
      <c r="AN7" s="36">
        <v>16543</v>
      </c>
      <c r="AO7" s="61">
        <f t="shared" si="0"/>
        <v>65318</v>
      </c>
      <c r="AP7" s="36">
        <v>14765</v>
      </c>
      <c r="AQ7" s="36">
        <v>21422</v>
      </c>
      <c r="AR7" s="36">
        <v>20563</v>
      </c>
      <c r="AS7" s="36">
        <v>20653</v>
      </c>
      <c r="AT7" s="61">
        <f t="shared" si="1"/>
        <v>77403</v>
      </c>
      <c r="AU7" s="36">
        <v>22727</v>
      </c>
      <c r="AV7" s="36">
        <v>19326</v>
      </c>
      <c r="AW7" s="36">
        <v>25733</v>
      </c>
      <c r="AX7" s="36">
        <v>26022</v>
      </c>
      <c r="AY7" s="61">
        <f t="shared" si="2"/>
        <v>93808</v>
      </c>
      <c r="AZ7" s="36">
        <v>22875</v>
      </c>
      <c r="BA7" s="36">
        <v>23656</v>
      </c>
      <c r="BB7" s="36">
        <v>22130</v>
      </c>
      <c r="BC7" s="36">
        <v>22232</v>
      </c>
      <c r="BD7" s="61">
        <f t="shared" si="3"/>
        <v>90893</v>
      </c>
      <c r="BE7" s="36">
        <v>23362</v>
      </c>
      <c r="BF7" s="36">
        <v>25959</v>
      </c>
      <c r="BG7" s="36">
        <v>34663</v>
      </c>
      <c r="BH7" s="36">
        <v>30625</v>
      </c>
      <c r="BI7" s="61">
        <f t="shared" si="4"/>
        <v>114609</v>
      </c>
      <c r="BJ7" s="36">
        <v>33236</v>
      </c>
      <c r="BK7" s="36">
        <v>31989</v>
      </c>
      <c r="BL7" s="36">
        <v>21714</v>
      </c>
      <c r="BM7" s="36">
        <v>24320</v>
      </c>
      <c r="BN7" s="61">
        <f t="shared" si="5"/>
        <v>111259</v>
      </c>
      <c r="BO7" s="36">
        <v>18619</v>
      </c>
      <c r="BP7" s="36">
        <v>23664</v>
      </c>
      <c r="BQ7" s="36">
        <v>17204</v>
      </c>
      <c r="BR7" s="36">
        <v>21878</v>
      </c>
      <c r="BS7" s="61">
        <f t="shared" si="6"/>
        <v>81365</v>
      </c>
      <c r="BT7" s="36">
        <v>17411</v>
      </c>
      <c r="BU7" s="36">
        <v>17634</v>
      </c>
      <c r="BV7" s="36">
        <v>16163</v>
      </c>
      <c r="BW7" s="36">
        <v>14438</v>
      </c>
      <c r="BX7" s="61">
        <f t="shared" si="7"/>
        <v>65646</v>
      </c>
      <c r="BY7" s="36">
        <v>26260</v>
      </c>
      <c r="BZ7" s="36">
        <v>21748</v>
      </c>
      <c r="CA7" s="36">
        <v>26832</v>
      </c>
      <c r="CB7" s="36">
        <v>26898</v>
      </c>
      <c r="CC7" s="61">
        <f>SUM(BY7:CB7)</f>
        <v>101738</v>
      </c>
      <c r="CD7" s="36">
        <v>27417</v>
      </c>
      <c r="CE7" s="101">
        <v>22792</v>
      </c>
      <c r="CF7" s="101">
        <v>20622</v>
      </c>
      <c r="CG7" s="101">
        <v>14660</v>
      </c>
      <c r="CH7" s="61">
        <f>SUM(CD7:CG7)</f>
        <v>85491</v>
      </c>
      <c r="CI7" s="36">
        <v>19833</v>
      </c>
      <c r="CJ7" s="36">
        <v>28962</v>
      </c>
      <c r="CK7" s="36">
        <v>23423</v>
      </c>
      <c r="CL7" s="101">
        <v>15808</v>
      </c>
      <c r="CM7" s="61">
        <f>SUM(CI7:CL7)</f>
        <v>88026</v>
      </c>
      <c r="CN7" s="36">
        <v>20019</v>
      </c>
      <c r="CO7" s="40">
        <v>20809</v>
      </c>
      <c r="CP7" s="36"/>
      <c r="CQ7" s="101"/>
      <c r="CR7" s="61">
        <f>SUM(CN7:CQ7)</f>
        <v>40828</v>
      </c>
    </row>
    <row r="8" spans="1:96" ht="11.15" customHeight="1" x14ac:dyDescent="0.2">
      <c r="A8" s="7" t="s">
        <v>245</v>
      </c>
      <c r="B8" s="11"/>
      <c r="C8" s="11"/>
      <c r="D8" s="11"/>
      <c r="E8" s="11"/>
      <c r="F8" s="65">
        <v>24037</v>
      </c>
      <c r="G8" s="11"/>
      <c r="H8" s="11"/>
      <c r="I8" s="11"/>
      <c r="J8" s="11"/>
      <c r="K8" s="65">
        <v>39345</v>
      </c>
      <c r="L8" s="11"/>
      <c r="M8" s="11"/>
      <c r="N8" s="11"/>
      <c r="O8" s="11"/>
      <c r="P8" s="65">
        <v>49306</v>
      </c>
      <c r="Q8" s="11"/>
      <c r="R8" s="11"/>
      <c r="S8" s="11"/>
      <c r="T8" s="11"/>
      <c r="U8" s="65">
        <v>42171</v>
      </c>
      <c r="V8" s="11"/>
      <c r="W8" s="11"/>
      <c r="X8" s="11"/>
      <c r="Y8" s="11"/>
      <c r="Z8" s="65">
        <v>66174</v>
      </c>
      <c r="AA8" s="11"/>
      <c r="AB8" s="11"/>
      <c r="AC8" s="11"/>
      <c r="AD8" s="11"/>
      <c r="AE8" s="65">
        <v>103305</v>
      </c>
      <c r="AF8" s="11"/>
      <c r="AG8" s="11"/>
      <c r="AH8" s="11"/>
      <c r="AI8" s="11"/>
      <c r="AJ8" s="65">
        <v>110860</v>
      </c>
      <c r="AK8" s="36">
        <v>30719</v>
      </c>
      <c r="AL8" s="36">
        <v>30897</v>
      </c>
      <c r="AM8" s="36">
        <v>31249</v>
      </c>
      <c r="AN8" s="36">
        <v>47793</v>
      </c>
      <c r="AO8" s="61">
        <f t="shared" si="0"/>
        <v>140658</v>
      </c>
      <c r="AP8" s="36">
        <v>40527</v>
      </c>
      <c r="AQ8" s="36">
        <v>42527</v>
      </c>
      <c r="AR8" s="36">
        <v>39836</v>
      </c>
      <c r="AS8" s="36">
        <v>48728</v>
      </c>
      <c r="AT8" s="61">
        <f t="shared" si="1"/>
        <v>171618</v>
      </c>
      <c r="AU8" s="36">
        <v>42364</v>
      </c>
      <c r="AV8" s="36">
        <v>51217</v>
      </c>
      <c r="AW8" s="36">
        <v>50760</v>
      </c>
      <c r="AX8" s="36">
        <v>44776</v>
      </c>
      <c r="AY8" s="61">
        <f t="shared" si="2"/>
        <v>189117</v>
      </c>
      <c r="AZ8" s="36">
        <v>45420</v>
      </c>
      <c r="BA8" s="36">
        <v>53319</v>
      </c>
      <c r="BB8" s="36">
        <v>56655</v>
      </c>
      <c r="BC8" s="36">
        <v>69442</v>
      </c>
      <c r="BD8" s="61">
        <f t="shared" si="3"/>
        <v>224836</v>
      </c>
      <c r="BE8" s="36">
        <v>62584</v>
      </c>
      <c r="BF8" s="36">
        <v>66116</v>
      </c>
      <c r="BG8" s="36">
        <v>83459</v>
      </c>
      <c r="BH8" s="36">
        <v>77913</v>
      </c>
      <c r="BI8" s="61">
        <f t="shared" si="4"/>
        <v>290072</v>
      </c>
      <c r="BJ8" s="36">
        <v>82978</v>
      </c>
      <c r="BK8" s="36">
        <v>76347</v>
      </c>
      <c r="BL8" s="36">
        <v>66392</v>
      </c>
      <c r="BM8" s="36">
        <v>71200</v>
      </c>
      <c r="BN8" s="61">
        <f t="shared" si="5"/>
        <v>296917</v>
      </c>
      <c r="BO8" s="36">
        <v>69200</v>
      </c>
      <c r="BP8" s="36">
        <v>61131</v>
      </c>
      <c r="BQ8" s="36">
        <v>62196</v>
      </c>
      <c r="BR8" s="36">
        <v>57344</v>
      </c>
      <c r="BS8" s="61">
        <f t="shared" si="6"/>
        <v>249871</v>
      </c>
      <c r="BT8" s="36">
        <v>57232</v>
      </c>
      <c r="BU8" s="36">
        <v>46547</v>
      </c>
      <c r="BV8" s="36">
        <v>54907</v>
      </c>
      <c r="BW8" s="36">
        <v>60854</v>
      </c>
      <c r="BX8" s="61">
        <f t="shared" si="7"/>
        <v>219540</v>
      </c>
      <c r="BY8" s="36">
        <v>58593</v>
      </c>
      <c r="BZ8" s="36">
        <v>74339</v>
      </c>
      <c r="CA8" s="36">
        <v>79777</v>
      </c>
      <c r="CB8" s="36">
        <v>76427</v>
      </c>
      <c r="CC8" s="61">
        <f t="shared" si="8"/>
        <v>289136</v>
      </c>
      <c r="CD8" s="36">
        <v>80000</v>
      </c>
      <c r="CE8" s="101">
        <v>75407</v>
      </c>
      <c r="CF8" s="101">
        <v>72332</v>
      </c>
      <c r="CG8" s="101">
        <v>66742</v>
      </c>
      <c r="CH8" s="61">
        <f t="shared" ref="CH8:CH13" si="9">SUM(CD8:CG8)</f>
        <v>294481</v>
      </c>
      <c r="CI8" s="36">
        <v>80420</v>
      </c>
      <c r="CJ8" s="36">
        <v>72865</v>
      </c>
      <c r="CK8" s="36">
        <v>71946</v>
      </c>
      <c r="CL8" s="101">
        <v>66105</v>
      </c>
      <c r="CM8" s="61">
        <f t="shared" ref="CM8:CM13" si="10">SUM(CI8:CL8)</f>
        <v>291336</v>
      </c>
      <c r="CN8" s="36">
        <v>59497</v>
      </c>
      <c r="CO8" s="36">
        <v>53722</v>
      </c>
      <c r="CP8" s="36"/>
      <c r="CQ8" s="101"/>
      <c r="CR8" s="61">
        <f t="shared" ref="CR8:CR13" si="11">SUM(CN8:CQ8)</f>
        <v>113219</v>
      </c>
    </row>
    <row r="9" spans="1:96" ht="11.15" customHeight="1" x14ac:dyDescent="0.2">
      <c r="A9" s="7" t="s">
        <v>97</v>
      </c>
      <c r="B9" s="11"/>
      <c r="C9" s="11"/>
      <c r="D9" s="11"/>
      <c r="E9" s="11"/>
      <c r="F9" s="65"/>
      <c r="G9" s="11"/>
      <c r="H9" s="11"/>
      <c r="I9" s="11"/>
      <c r="J9" s="11"/>
      <c r="K9" s="65"/>
      <c r="L9" s="11"/>
      <c r="M9" s="11"/>
      <c r="N9" s="11"/>
      <c r="O9" s="11"/>
      <c r="P9" s="65">
        <v>14781</v>
      </c>
      <c r="Q9" s="11"/>
      <c r="R9" s="11"/>
      <c r="S9" s="11"/>
      <c r="T9" s="11"/>
      <c r="U9" s="65">
        <v>29937</v>
      </c>
      <c r="V9" s="11"/>
      <c r="W9" s="11"/>
      <c r="X9" s="11"/>
      <c r="Y9" s="11"/>
      <c r="Z9" s="65">
        <v>57762</v>
      </c>
      <c r="AA9" s="11"/>
      <c r="AB9" s="11"/>
      <c r="AC9" s="11"/>
      <c r="AD9" s="11"/>
      <c r="AE9" s="65">
        <v>104560</v>
      </c>
      <c r="AF9" s="11"/>
      <c r="AG9" s="11"/>
      <c r="AH9" s="11"/>
      <c r="AI9" s="11"/>
      <c r="AJ9" s="65">
        <v>138782</v>
      </c>
      <c r="AK9" s="36">
        <v>37013</v>
      </c>
      <c r="AL9" s="36">
        <v>58445</v>
      </c>
      <c r="AM9" s="36">
        <v>56273</v>
      </c>
      <c r="AN9" s="36">
        <v>40373</v>
      </c>
      <c r="AO9" s="61">
        <f t="shared" si="0"/>
        <v>192104</v>
      </c>
      <c r="AP9" s="36">
        <v>47241</v>
      </c>
      <c r="AQ9" s="36">
        <v>65618</v>
      </c>
      <c r="AR9" s="36">
        <v>72383</v>
      </c>
      <c r="AS9" s="36">
        <v>61175</v>
      </c>
      <c r="AT9" s="61">
        <f t="shared" si="1"/>
        <v>246417</v>
      </c>
      <c r="AU9" s="36">
        <v>56533</v>
      </c>
      <c r="AV9" s="36">
        <v>92879</v>
      </c>
      <c r="AW9" s="36">
        <v>93450</v>
      </c>
      <c r="AX9" s="36">
        <v>69083</v>
      </c>
      <c r="AY9" s="61">
        <f t="shared" si="2"/>
        <v>311945</v>
      </c>
      <c r="AZ9" s="36">
        <v>61634</v>
      </c>
      <c r="BA9" s="36">
        <v>96355</v>
      </c>
      <c r="BB9" s="36">
        <v>102062</v>
      </c>
      <c r="BC9" s="36">
        <v>98425</v>
      </c>
      <c r="BD9" s="61">
        <f t="shared" si="3"/>
        <v>358476</v>
      </c>
      <c r="BE9" s="36">
        <v>116674</v>
      </c>
      <c r="BF9" s="36">
        <v>185145</v>
      </c>
      <c r="BG9" s="36">
        <v>175092</v>
      </c>
      <c r="BH9" s="36">
        <v>144372</v>
      </c>
      <c r="BI9" s="61">
        <f t="shared" si="4"/>
        <v>621283</v>
      </c>
      <c r="BJ9" s="36">
        <v>149973</v>
      </c>
      <c r="BK9" s="36">
        <v>203026</v>
      </c>
      <c r="BL9" s="36">
        <v>158853</v>
      </c>
      <c r="BM9" s="36">
        <v>117227</v>
      </c>
      <c r="BN9" s="61">
        <f t="shared" si="5"/>
        <v>629079</v>
      </c>
      <c r="BO9" s="36">
        <v>114366</v>
      </c>
      <c r="BP9" s="36">
        <v>163590</v>
      </c>
      <c r="BQ9" s="36">
        <v>121290</v>
      </c>
      <c r="BR9" s="36">
        <v>92644</v>
      </c>
      <c r="BS9" s="61">
        <f t="shared" si="6"/>
        <v>491890</v>
      </c>
      <c r="BT9" s="36">
        <v>68599</v>
      </c>
      <c r="BU9" s="36">
        <v>145216</v>
      </c>
      <c r="BV9" s="36">
        <v>148049</v>
      </c>
      <c r="BW9" s="36">
        <v>140414</v>
      </c>
      <c r="BX9" s="61">
        <f t="shared" si="7"/>
        <v>502278</v>
      </c>
      <c r="BY9" s="36">
        <v>139833</v>
      </c>
      <c r="BZ9" s="36">
        <v>159075</v>
      </c>
      <c r="CA9" s="36">
        <v>137211</v>
      </c>
      <c r="CB9" s="36">
        <v>112229</v>
      </c>
      <c r="CC9" s="61">
        <f t="shared" si="8"/>
        <v>548348</v>
      </c>
      <c r="CD9" s="36">
        <v>129748</v>
      </c>
      <c r="CE9" s="95">
        <v>137380</v>
      </c>
      <c r="CF9" s="95">
        <v>117952</v>
      </c>
      <c r="CG9" s="95">
        <v>94846</v>
      </c>
      <c r="CH9" s="61">
        <f t="shared" si="9"/>
        <v>479926</v>
      </c>
      <c r="CI9" s="36">
        <v>101287</v>
      </c>
      <c r="CJ9" s="36">
        <v>98567</v>
      </c>
      <c r="CK9" s="36">
        <v>84408</v>
      </c>
      <c r="CL9" s="95">
        <v>71059</v>
      </c>
      <c r="CM9" s="61">
        <f t="shared" si="10"/>
        <v>355321</v>
      </c>
      <c r="CN9" s="36">
        <v>62730</v>
      </c>
      <c r="CO9" s="36">
        <v>64875</v>
      </c>
      <c r="CP9" s="36"/>
      <c r="CQ9" s="95"/>
      <c r="CR9" s="61">
        <f t="shared" si="11"/>
        <v>127605</v>
      </c>
    </row>
    <row r="10" spans="1:96" ht="11.15" customHeight="1" x14ac:dyDescent="0.2">
      <c r="A10" s="7" t="s">
        <v>98</v>
      </c>
      <c r="B10" s="11"/>
      <c r="C10" s="11"/>
      <c r="D10" s="11"/>
      <c r="E10" s="11"/>
      <c r="F10" s="65">
        <v>35585</v>
      </c>
      <c r="G10" s="11"/>
      <c r="H10" s="11"/>
      <c r="I10" s="11"/>
      <c r="J10" s="11"/>
      <c r="K10" s="65">
        <v>32894</v>
      </c>
      <c r="L10" s="11"/>
      <c r="M10" s="11"/>
      <c r="N10" s="11"/>
      <c r="O10" s="11"/>
      <c r="P10" s="65">
        <v>41310</v>
      </c>
      <c r="Q10" s="11"/>
      <c r="R10" s="11"/>
      <c r="S10" s="11"/>
      <c r="T10" s="11"/>
      <c r="U10" s="65">
        <v>20942</v>
      </c>
      <c r="V10" s="11"/>
      <c r="W10" s="11"/>
      <c r="X10" s="11"/>
      <c r="Y10" s="11"/>
      <c r="Z10" s="65">
        <v>35878</v>
      </c>
      <c r="AA10" s="11"/>
      <c r="AB10" s="11"/>
      <c r="AC10" s="11"/>
      <c r="AD10" s="11"/>
      <c r="AE10" s="65">
        <v>63261</v>
      </c>
      <c r="AF10" s="11"/>
      <c r="AG10" s="11"/>
      <c r="AH10" s="11"/>
      <c r="AI10" s="11"/>
      <c r="AJ10" s="65">
        <v>69576</v>
      </c>
      <c r="AK10" s="36">
        <v>17647</v>
      </c>
      <c r="AL10" s="36">
        <v>14370</v>
      </c>
      <c r="AM10" s="36">
        <v>20037</v>
      </c>
      <c r="AN10" s="36">
        <v>16516</v>
      </c>
      <c r="AO10" s="61">
        <f t="shared" si="0"/>
        <v>68570</v>
      </c>
      <c r="AP10" s="36">
        <v>24482</v>
      </c>
      <c r="AQ10" s="36">
        <v>14634</v>
      </c>
      <c r="AR10" s="36">
        <v>16672</v>
      </c>
      <c r="AS10" s="36">
        <v>16788</v>
      </c>
      <c r="AT10" s="61">
        <f t="shared" si="1"/>
        <v>72576</v>
      </c>
      <c r="AU10" s="36">
        <v>20808</v>
      </c>
      <c r="AV10" s="36">
        <v>18778</v>
      </c>
      <c r="AW10" s="36">
        <v>13184</v>
      </c>
      <c r="AX10" s="36">
        <v>23263</v>
      </c>
      <c r="AY10" s="61">
        <f t="shared" si="2"/>
        <v>76033</v>
      </c>
      <c r="AZ10" s="36">
        <v>19843</v>
      </c>
      <c r="BA10" s="36">
        <v>20340</v>
      </c>
      <c r="BB10" s="36">
        <v>23359</v>
      </c>
      <c r="BC10" s="36">
        <v>25050</v>
      </c>
      <c r="BD10" s="61">
        <f t="shared" si="3"/>
        <v>88592</v>
      </c>
      <c r="BE10" s="36">
        <v>14156</v>
      </c>
      <c r="BF10" s="36">
        <v>19759</v>
      </c>
      <c r="BG10" s="36">
        <v>21050</v>
      </c>
      <c r="BH10" s="36">
        <v>25647</v>
      </c>
      <c r="BI10" s="61">
        <f t="shared" si="4"/>
        <v>80612</v>
      </c>
      <c r="BJ10" s="36">
        <v>19629</v>
      </c>
      <c r="BK10" s="36">
        <v>19428</v>
      </c>
      <c r="BL10" s="36">
        <v>21871</v>
      </c>
      <c r="BM10" s="36">
        <v>26691</v>
      </c>
      <c r="BN10" s="61">
        <f t="shared" si="5"/>
        <v>87619</v>
      </c>
      <c r="BO10" s="36">
        <v>15614</v>
      </c>
      <c r="BP10" s="36">
        <v>17406</v>
      </c>
      <c r="BQ10" s="36">
        <v>21859</v>
      </c>
      <c r="BR10" s="36">
        <v>16878</v>
      </c>
      <c r="BS10" s="61">
        <f t="shared" si="6"/>
        <v>71757</v>
      </c>
      <c r="BT10" s="36">
        <v>13685</v>
      </c>
      <c r="BU10" s="36">
        <v>14672</v>
      </c>
      <c r="BV10" s="36">
        <v>12884</v>
      </c>
      <c r="BW10" s="36">
        <v>11939</v>
      </c>
      <c r="BX10" s="61">
        <f t="shared" si="7"/>
        <v>53180</v>
      </c>
      <c r="BY10" s="36">
        <v>10877</v>
      </c>
      <c r="BZ10" s="36">
        <v>10322</v>
      </c>
      <c r="CA10" s="36">
        <v>14286</v>
      </c>
      <c r="CB10" s="36">
        <v>18592</v>
      </c>
      <c r="CC10" s="61">
        <f t="shared" si="8"/>
        <v>54077</v>
      </c>
      <c r="CD10" s="36">
        <v>12886</v>
      </c>
      <c r="CE10" s="95">
        <v>14741</v>
      </c>
      <c r="CF10" s="95">
        <v>11220</v>
      </c>
      <c r="CG10" s="95">
        <v>19018</v>
      </c>
      <c r="CH10" s="61">
        <f t="shared" si="9"/>
        <v>57865</v>
      </c>
      <c r="CI10" s="36">
        <v>21618</v>
      </c>
      <c r="CJ10" s="36">
        <v>16749</v>
      </c>
      <c r="CK10" s="36">
        <v>15829</v>
      </c>
      <c r="CL10" s="95">
        <v>18137</v>
      </c>
      <c r="CM10" s="61">
        <f t="shared" si="10"/>
        <v>72333</v>
      </c>
      <c r="CN10" s="36">
        <v>16698</v>
      </c>
      <c r="CO10" s="36">
        <v>10215</v>
      </c>
      <c r="CP10" s="36"/>
      <c r="CQ10" s="95"/>
      <c r="CR10" s="61">
        <f t="shared" si="11"/>
        <v>26913</v>
      </c>
    </row>
    <row r="11" spans="1:96" ht="11.15" customHeight="1" x14ac:dyDescent="0.2">
      <c r="A11" s="7" t="s">
        <v>235</v>
      </c>
      <c r="B11" s="11"/>
      <c r="C11" s="11"/>
      <c r="D11" s="11"/>
      <c r="E11" s="11"/>
      <c r="F11" s="65">
        <v>13184</v>
      </c>
      <c r="G11" s="11"/>
      <c r="H11" s="11"/>
      <c r="I11" s="11"/>
      <c r="J11" s="11"/>
      <c r="K11" s="65">
        <v>29670</v>
      </c>
      <c r="L11" s="11"/>
      <c r="M11" s="11"/>
      <c r="N11" s="11"/>
      <c r="O11" s="11"/>
      <c r="P11" s="65">
        <v>21491</v>
      </c>
      <c r="Q11" s="11"/>
      <c r="R11" s="11"/>
      <c r="S11" s="11"/>
      <c r="T11" s="11"/>
      <c r="U11" s="65">
        <v>15221</v>
      </c>
      <c r="V11" s="11"/>
      <c r="W11" s="11"/>
      <c r="X11" s="11"/>
      <c r="Y11" s="11"/>
      <c r="Z11" s="65">
        <v>30614</v>
      </c>
      <c r="AA11" s="11"/>
      <c r="AB11" s="11"/>
      <c r="AC11" s="11"/>
      <c r="AD11" s="11"/>
      <c r="AE11" s="65">
        <v>36937</v>
      </c>
      <c r="AF11" s="11"/>
      <c r="AG11" s="11"/>
      <c r="AH11" s="11"/>
      <c r="AI11" s="11"/>
      <c r="AJ11" s="65">
        <v>43445</v>
      </c>
      <c r="AK11" s="36">
        <v>17060</v>
      </c>
      <c r="AL11" s="36">
        <v>18256</v>
      </c>
      <c r="AM11" s="36">
        <v>14159</v>
      </c>
      <c r="AN11" s="36">
        <v>15539</v>
      </c>
      <c r="AO11" s="61">
        <f t="shared" si="0"/>
        <v>65014</v>
      </c>
      <c r="AP11" s="36">
        <v>20022</v>
      </c>
      <c r="AQ11" s="36">
        <v>21481</v>
      </c>
      <c r="AR11" s="36">
        <v>24061</v>
      </c>
      <c r="AS11" s="36">
        <v>19879</v>
      </c>
      <c r="AT11" s="61">
        <f t="shared" si="1"/>
        <v>85443</v>
      </c>
      <c r="AU11" s="36">
        <v>27154</v>
      </c>
      <c r="AV11" s="36">
        <v>25869</v>
      </c>
      <c r="AW11" s="36">
        <v>23267</v>
      </c>
      <c r="AX11" s="36">
        <v>19204</v>
      </c>
      <c r="AY11" s="61">
        <f t="shared" si="2"/>
        <v>95494</v>
      </c>
      <c r="AZ11" s="36">
        <v>25097</v>
      </c>
      <c r="BA11" s="36">
        <v>26366</v>
      </c>
      <c r="BB11" s="36">
        <v>24629</v>
      </c>
      <c r="BC11" s="36">
        <v>23960</v>
      </c>
      <c r="BD11" s="61">
        <f t="shared" si="3"/>
        <v>100052</v>
      </c>
      <c r="BE11" s="36">
        <v>29369</v>
      </c>
      <c r="BF11" s="36">
        <v>32018</v>
      </c>
      <c r="BG11" s="36">
        <v>35975</v>
      </c>
      <c r="BH11" s="36">
        <v>34149</v>
      </c>
      <c r="BI11" s="61">
        <f t="shared" si="4"/>
        <v>131511</v>
      </c>
      <c r="BJ11" s="36">
        <v>34207</v>
      </c>
      <c r="BK11" s="36">
        <v>33315</v>
      </c>
      <c r="BL11" s="36">
        <v>31953</v>
      </c>
      <c r="BM11" s="36">
        <v>27777</v>
      </c>
      <c r="BN11" s="61">
        <f t="shared" si="5"/>
        <v>127252</v>
      </c>
      <c r="BO11" s="36">
        <v>31738</v>
      </c>
      <c r="BP11" s="36">
        <v>28929</v>
      </c>
      <c r="BQ11" s="36">
        <v>28877</v>
      </c>
      <c r="BR11" s="36">
        <v>32042</v>
      </c>
      <c r="BS11" s="61">
        <f t="shared" si="6"/>
        <v>121586</v>
      </c>
      <c r="BT11" s="36">
        <v>22823</v>
      </c>
      <c r="BU11" s="36">
        <v>16874</v>
      </c>
      <c r="BV11" s="36">
        <v>31227</v>
      </c>
      <c r="BW11" s="36">
        <v>32861</v>
      </c>
      <c r="BX11" s="61">
        <f t="shared" si="7"/>
        <v>103785</v>
      </c>
      <c r="BY11" s="36">
        <v>33110</v>
      </c>
      <c r="BZ11" s="36">
        <v>37654</v>
      </c>
      <c r="CA11" s="36">
        <v>35844</v>
      </c>
      <c r="CB11" s="36">
        <v>32540</v>
      </c>
      <c r="CC11" s="61">
        <f t="shared" si="8"/>
        <v>139148</v>
      </c>
      <c r="CD11" s="36">
        <v>38675</v>
      </c>
      <c r="CE11" s="95">
        <v>33695</v>
      </c>
      <c r="CF11" s="95">
        <v>39130</v>
      </c>
      <c r="CG11" s="95">
        <v>40873</v>
      </c>
      <c r="CH11" s="61">
        <f t="shared" si="9"/>
        <v>152373</v>
      </c>
      <c r="CI11" s="36">
        <v>43654</v>
      </c>
      <c r="CJ11" s="36">
        <v>38062</v>
      </c>
      <c r="CK11" s="36">
        <v>29741</v>
      </c>
      <c r="CL11" s="95">
        <v>30921</v>
      </c>
      <c r="CM11" s="61">
        <f t="shared" si="10"/>
        <v>142378</v>
      </c>
      <c r="CN11" s="36">
        <v>24978</v>
      </c>
      <c r="CO11" s="36">
        <v>27643</v>
      </c>
      <c r="CP11" s="36"/>
      <c r="CQ11" s="95"/>
      <c r="CR11" s="61">
        <f t="shared" si="11"/>
        <v>52621</v>
      </c>
    </row>
    <row r="12" spans="1:96" ht="11.15" customHeight="1" x14ac:dyDescent="0.2">
      <c r="A12" s="7" t="s">
        <v>99</v>
      </c>
      <c r="B12" s="9"/>
      <c r="C12" s="9"/>
      <c r="D12" s="9"/>
      <c r="E12" s="9"/>
      <c r="F12" s="71">
        <v>446</v>
      </c>
      <c r="G12" s="9"/>
      <c r="H12" s="9"/>
      <c r="I12" s="9"/>
      <c r="J12" s="9"/>
      <c r="K12" s="71">
        <v>46</v>
      </c>
      <c r="L12" s="9"/>
      <c r="M12" s="9"/>
      <c r="N12" s="9"/>
      <c r="O12" s="9"/>
      <c r="P12" s="71">
        <v>5399</v>
      </c>
      <c r="Q12" s="9"/>
      <c r="R12" s="9"/>
      <c r="S12" s="9"/>
      <c r="T12" s="9"/>
      <c r="U12" s="71">
        <v>3713</v>
      </c>
      <c r="V12" s="9"/>
      <c r="W12" s="9"/>
      <c r="X12" s="9"/>
      <c r="Y12" s="9"/>
      <c r="Z12" s="71">
        <v>840</v>
      </c>
      <c r="AA12" s="9"/>
      <c r="AB12" s="9"/>
      <c r="AC12" s="9"/>
      <c r="AD12" s="9"/>
      <c r="AE12" s="71">
        <v>3959</v>
      </c>
      <c r="AF12" s="9"/>
      <c r="AG12" s="9"/>
      <c r="AH12" s="9"/>
      <c r="AI12" s="9"/>
      <c r="AJ12" s="71">
        <v>1701</v>
      </c>
      <c r="AK12" s="37">
        <v>564</v>
      </c>
      <c r="AL12" s="37">
        <v>1325</v>
      </c>
      <c r="AM12" s="37">
        <v>1111</v>
      </c>
      <c r="AN12" s="37">
        <v>317</v>
      </c>
      <c r="AO12" s="61">
        <f t="shared" si="0"/>
        <v>3317</v>
      </c>
      <c r="AP12" s="37">
        <v>690</v>
      </c>
      <c r="AQ12" s="37">
        <v>1757</v>
      </c>
      <c r="AR12" s="37">
        <v>1025</v>
      </c>
      <c r="AS12" s="37">
        <v>1141</v>
      </c>
      <c r="AT12" s="61">
        <f t="shared" si="1"/>
        <v>4613</v>
      </c>
      <c r="AU12" s="37">
        <v>736</v>
      </c>
      <c r="AV12" s="37">
        <v>376</v>
      </c>
      <c r="AW12" s="37">
        <v>892</v>
      </c>
      <c r="AX12" s="37">
        <v>1340</v>
      </c>
      <c r="AY12" s="61">
        <f t="shared" si="2"/>
        <v>3344</v>
      </c>
      <c r="AZ12" s="37">
        <v>652</v>
      </c>
      <c r="BA12" s="37">
        <v>410</v>
      </c>
      <c r="BB12" s="37">
        <v>444</v>
      </c>
      <c r="BC12" s="37">
        <v>634</v>
      </c>
      <c r="BD12" s="61">
        <f t="shared" si="3"/>
        <v>2140</v>
      </c>
      <c r="BE12" s="37">
        <v>1796</v>
      </c>
      <c r="BF12" s="37">
        <v>1412</v>
      </c>
      <c r="BG12" s="37">
        <v>813</v>
      </c>
      <c r="BH12" s="37">
        <v>1425</v>
      </c>
      <c r="BI12" s="61">
        <f t="shared" si="4"/>
        <v>5446</v>
      </c>
      <c r="BJ12" s="37">
        <v>664</v>
      </c>
      <c r="BK12" s="37">
        <v>1742</v>
      </c>
      <c r="BL12" s="37">
        <v>1801</v>
      </c>
      <c r="BM12" s="37">
        <v>799</v>
      </c>
      <c r="BN12" s="61">
        <f t="shared" si="5"/>
        <v>5006</v>
      </c>
      <c r="BO12" s="37">
        <v>703</v>
      </c>
      <c r="BP12" s="37">
        <v>4909</v>
      </c>
      <c r="BQ12" s="37">
        <v>6712</v>
      </c>
      <c r="BR12" s="37">
        <v>4902</v>
      </c>
      <c r="BS12" s="61">
        <f t="shared" si="6"/>
        <v>17226</v>
      </c>
      <c r="BT12" s="37">
        <v>2153</v>
      </c>
      <c r="BU12" s="37">
        <v>1567</v>
      </c>
      <c r="BV12" s="37">
        <v>2479</v>
      </c>
      <c r="BW12" s="37">
        <v>3907</v>
      </c>
      <c r="BX12" s="61">
        <f t="shared" si="7"/>
        <v>10106</v>
      </c>
      <c r="BY12" s="37">
        <v>3528</v>
      </c>
      <c r="BZ12" s="37">
        <v>2386</v>
      </c>
      <c r="CA12" s="37">
        <v>3595</v>
      </c>
      <c r="CB12" s="36">
        <v>3920</v>
      </c>
      <c r="CC12" s="61">
        <f t="shared" si="8"/>
        <v>13429</v>
      </c>
      <c r="CD12" s="37">
        <v>4028</v>
      </c>
      <c r="CE12" s="105">
        <v>4857</v>
      </c>
      <c r="CF12" s="105">
        <v>5631</v>
      </c>
      <c r="CG12" s="105">
        <v>6182</v>
      </c>
      <c r="CH12" s="61">
        <f t="shared" si="9"/>
        <v>20698</v>
      </c>
      <c r="CI12" s="37">
        <v>4282</v>
      </c>
      <c r="CJ12" s="37">
        <v>6546</v>
      </c>
      <c r="CK12" s="37">
        <v>4705</v>
      </c>
      <c r="CL12" s="105">
        <v>8526</v>
      </c>
      <c r="CM12" s="61">
        <f t="shared" si="10"/>
        <v>24059</v>
      </c>
      <c r="CN12" s="37">
        <v>4123</v>
      </c>
      <c r="CO12" s="36">
        <v>3476</v>
      </c>
      <c r="CP12" s="37"/>
      <c r="CQ12" s="105"/>
      <c r="CR12" s="61">
        <f t="shared" si="11"/>
        <v>7599</v>
      </c>
    </row>
    <row r="13" spans="1:96" s="2" customFormat="1" ht="11.15" customHeight="1" x14ac:dyDescent="0.25">
      <c r="A13" s="6" t="s">
        <v>14</v>
      </c>
      <c r="B13" s="31"/>
      <c r="C13" s="31"/>
      <c r="D13" s="31"/>
      <c r="E13" s="31"/>
      <c r="F13" s="76">
        <f>SUM(F6:F12)</f>
        <v>143225</v>
      </c>
      <c r="G13" s="31"/>
      <c r="H13" s="31"/>
      <c r="I13" s="31"/>
      <c r="J13" s="31"/>
      <c r="K13" s="76">
        <f>SUM(K6:K12)</f>
        <v>188677</v>
      </c>
      <c r="L13" s="31"/>
      <c r="M13" s="31"/>
      <c r="N13" s="31"/>
      <c r="O13" s="31"/>
      <c r="P13" s="76">
        <f>SUM(P6:P12)</f>
        <v>229076</v>
      </c>
      <c r="Q13" s="31"/>
      <c r="R13" s="31"/>
      <c r="S13" s="31"/>
      <c r="T13" s="31"/>
      <c r="U13" s="76">
        <f>SUM(U6:U12)</f>
        <v>185894</v>
      </c>
      <c r="V13" s="31"/>
      <c r="W13" s="31"/>
      <c r="X13" s="31"/>
      <c r="Y13" s="31"/>
      <c r="Z13" s="76">
        <f>SUM(Z6:Z12)</f>
        <v>299256</v>
      </c>
      <c r="AA13" s="31"/>
      <c r="AB13" s="31"/>
      <c r="AC13" s="31"/>
      <c r="AD13" s="31"/>
      <c r="AE13" s="76">
        <f>SUM(AE6:AE12)</f>
        <v>474482</v>
      </c>
      <c r="AF13" s="31"/>
      <c r="AG13" s="31"/>
      <c r="AH13" s="31"/>
      <c r="AI13" s="31"/>
      <c r="AJ13" s="76">
        <f>SUM(AJ6:AJ12)</f>
        <v>562528</v>
      </c>
      <c r="AK13" s="31">
        <f>SUM(AK6:AK12)</f>
        <v>141852</v>
      </c>
      <c r="AL13" s="31">
        <f>SUM(AL6:AL12)</f>
        <v>168171</v>
      </c>
      <c r="AM13" s="31">
        <f>SUM(AM6:AM12)</f>
        <v>172152</v>
      </c>
      <c r="AN13" s="31">
        <f t="shared" ref="AN13" si="12">SUM(AN6:AN12)</f>
        <v>165859</v>
      </c>
      <c r="AO13" s="76">
        <f>SUM(AO6:AO12)</f>
        <v>648034</v>
      </c>
      <c r="AP13" s="31">
        <f>SUM(AP6:AP12)</f>
        <v>170575</v>
      </c>
      <c r="AQ13" s="31">
        <f>SUM(AQ6:AQ12)</f>
        <v>192204</v>
      </c>
      <c r="AR13" s="31">
        <f t="shared" ref="AR13:AS13" si="13">SUM(AR6:AR12)</f>
        <v>199651</v>
      </c>
      <c r="AS13" s="31">
        <f t="shared" si="13"/>
        <v>207402</v>
      </c>
      <c r="AT13" s="76">
        <f>SUM(AT6:AT12)</f>
        <v>769832</v>
      </c>
      <c r="AU13" s="31">
        <f>SUM(AU6:AU12)</f>
        <v>198960</v>
      </c>
      <c r="AV13" s="31">
        <f>SUM(AV6:AV12)</f>
        <v>235138</v>
      </c>
      <c r="AW13" s="31">
        <f t="shared" ref="AW13" si="14">SUM(AW6:AW12)</f>
        <v>243541</v>
      </c>
      <c r="AX13" s="31">
        <f t="shared" ref="AX13" si="15">SUM(AX6:AX12)</f>
        <v>223626</v>
      </c>
      <c r="AY13" s="76">
        <f t="shared" ref="AY13" si="16">SUM(AU13:AX13)</f>
        <v>901265</v>
      </c>
      <c r="AZ13" s="31">
        <f>SUM(AZ6:AZ12)</f>
        <v>207248</v>
      </c>
      <c r="BA13" s="31">
        <f>SUM(BA6:BA12)</f>
        <v>252787</v>
      </c>
      <c r="BB13" s="31">
        <f t="shared" ref="BB13:BC13" si="17">SUM(BB6:BB12)</f>
        <v>266017</v>
      </c>
      <c r="BC13" s="31">
        <f t="shared" si="17"/>
        <v>280121</v>
      </c>
      <c r="BD13" s="76">
        <f t="shared" si="3"/>
        <v>1006173</v>
      </c>
      <c r="BE13" s="31">
        <f>SUM(BE6:BE12)</f>
        <v>285846</v>
      </c>
      <c r="BF13" s="31">
        <f>SUM(BF6:BF12)</f>
        <v>369373</v>
      </c>
      <c r="BG13" s="31">
        <f>SUM(BG6:BG12)</f>
        <v>392615</v>
      </c>
      <c r="BH13" s="31">
        <f>SUM(BH6:BH12)</f>
        <v>361055</v>
      </c>
      <c r="BI13" s="76">
        <f t="shared" si="4"/>
        <v>1408889</v>
      </c>
      <c r="BJ13" s="31">
        <f>SUM(BJ6:BJ12)</f>
        <v>359864</v>
      </c>
      <c r="BK13" s="31">
        <f>SUM(BK6:BK12)</f>
        <v>413613</v>
      </c>
      <c r="BL13" s="31">
        <f>SUM(BL6:BL12)</f>
        <v>356346</v>
      </c>
      <c r="BM13" s="31">
        <f>SUM(BM6:BM12)</f>
        <v>330051</v>
      </c>
      <c r="BN13" s="76">
        <f t="shared" si="5"/>
        <v>1459874</v>
      </c>
      <c r="BO13" s="31">
        <f>SUM(BO6:BO12)</f>
        <v>315047</v>
      </c>
      <c r="BP13" s="31">
        <f>SUM(BP6:BP12)</f>
        <v>363769</v>
      </c>
      <c r="BQ13" s="31">
        <f>SUM(BQ6:BQ12)</f>
        <v>329138</v>
      </c>
      <c r="BR13" s="31">
        <f>SUM(BR6:BR12)</f>
        <v>306627</v>
      </c>
      <c r="BS13" s="76">
        <f t="shared" si="6"/>
        <v>1314581</v>
      </c>
      <c r="BT13" s="31">
        <f>SUM(BT6:BT12)</f>
        <v>249242</v>
      </c>
      <c r="BU13" s="31">
        <f>SUM(BU6:BU12)</f>
        <v>296411</v>
      </c>
      <c r="BV13" s="31">
        <f>SUM(BV6:BV12)</f>
        <v>318441</v>
      </c>
      <c r="BW13" s="31">
        <f>SUM(BW6:BW12)</f>
        <v>336630</v>
      </c>
      <c r="BX13" s="76">
        <f t="shared" si="7"/>
        <v>1200724</v>
      </c>
      <c r="BY13" s="31">
        <f>SUM(BY6:BY12)</f>
        <v>345585</v>
      </c>
      <c r="BZ13" s="31">
        <f>SUM(BZ6:BZ12)</f>
        <v>371658</v>
      </c>
      <c r="CA13" s="31">
        <f>SUM(CA6:CA12)</f>
        <v>379150</v>
      </c>
      <c r="CB13" s="31">
        <f>SUM(CB6:CB12)</f>
        <v>364467</v>
      </c>
      <c r="CC13" s="76">
        <f t="shared" si="8"/>
        <v>1460860</v>
      </c>
      <c r="CD13" s="31">
        <f>SUM(CD6:CD12)</f>
        <v>369979</v>
      </c>
      <c r="CE13" s="31">
        <f>SUM(CE6:CE12)</f>
        <v>377023</v>
      </c>
      <c r="CF13" s="31">
        <f>SUM(CF6:CF12)</f>
        <v>349006</v>
      </c>
      <c r="CG13" s="31">
        <f>SUM(CG6:CG12)</f>
        <v>333539</v>
      </c>
      <c r="CH13" s="76">
        <f t="shared" si="9"/>
        <v>1429547</v>
      </c>
      <c r="CI13" s="31">
        <f>SUM(CI6:CI12)</f>
        <v>347174</v>
      </c>
      <c r="CJ13" s="31">
        <f>SUM(CJ6:CJ12)</f>
        <v>339971</v>
      </c>
      <c r="CK13" s="31">
        <f>SUM(CK6:CK12)</f>
        <v>301401</v>
      </c>
      <c r="CL13" s="31">
        <f>SUM(CL6:CL12)</f>
        <v>298893</v>
      </c>
      <c r="CM13" s="76">
        <f t="shared" si="10"/>
        <v>1287439</v>
      </c>
      <c r="CN13" s="31">
        <f>SUM(CN6:CN12)</f>
        <v>252009</v>
      </c>
      <c r="CO13" s="31">
        <f>SUM(CO6:CO12)</f>
        <v>257645</v>
      </c>
      <c r="CP13" s="31"/>
      <c r="CQ13" s="31"/>
      <c r="CR13" s="76">
        <f t="shared" si="11"/>
        <v>509654</v>
      </c>
    </row>
    <row r="14" spans="1:96" s="2" customFormat="1" ht="11.15" customHeight="1" x14ac:dyDescent="0.25">
      <c r="A14" s="21"/>
      <c r="B14" s="11"/>
      <c r="C14" s="11"/>
      <c r="D14" s="11"/>
      <c r="E14" s="11"/>
      <c r="F14" s="61">
        <f>F13-'Income Statement'!F5</f>
        <v>0</v>
      </c>
      <c r="G14" s="11"/>
      <c r="H14" s="11"/>
      <c r="I14" s="11"/>
      <c r="J14" s="11"/>
      <c r="K14" s="61">
        <f>K13-'Income Statement'!K5</f>
        <v>0</v>
      </c>
      <c r="L14" s="11"/>
      <c r="M14" s="11"/>
      <c r="N14" s="11"/>
      <c r="O14" s="11"/>
      <c r="P14" s="61">
        <f>P13-'Income Statement'!P5</f>
        <v>0</v>
      </c>
      <c r="Q14" s="11"/>
      <c r="R14" s="11"/>
      <c r="S14" s="11"/>
      <c r="T14" s="11"/>
      <c r="U14" s="61">
        <f>U13-'Income Statement'!U5</f>
        <v>0</v>
      </c>
      <c r="V14" s="11"/>
      <c r="W14" s="11"/>
      <c r="X14" s="11"/>
      <c r="Y14" s="11"/>
      <c r="Z14" s="61">
        <f>Z13-'Income Statement'!Z5</f>
        <v>0</v>
      </c>
      <c r="AA14" s="11"/>
      <c r="AB14" s="11"/>
      <c r="AC14" s="11"/>
      <c r="AD14" s="11"/>
      <c r="AE14" s="61">
        <f>AE13-'Income Statement'!AE5</f>
        <v>0</v>
      </c>
      <c r="AF14" s="11"/>
      <c r="AG14" s="11"/>
      <c r="AH14" s="11"/>
      <c r="AI14" s="11"/>
      <c r="AJ14" s="61">
        <f>AJ13-'Income Statement'!AJ5</f>
        <v>0</v>
      </c>
      <c r="AK14" s="11">
        <f>AK13-'Income Statement'!AK5</f>
        <v>0</v>
      </c>
      <c r="AL14" s="11">
        <f>AL13-'Income Statement'!AL5</f>
        <v>0</v>
      </c>
      <c r="AM14" s="11">
        <f>AM13-'Income Statement'!AM5</f>
        <v>0</v>
      </c>
      <c r="AN14" s="11">
        <f>AN13-'Income Statement'!AN5</f>
        <v>0</v>
      </c>
      <c r="AO14" s="61">
        <f>AO13-'Income Statement'!AO5</f>
        <v>0</v>
      </c>
      <c r="AP14" s="11">
        <f>AP13-'Income Statement'!AP5</f>
        <v>0</v>
      </c>
      <c r="AQ14" s="11">
        <f>AQ13-'Income Statement'!AQ5</f>
        <v>0</v>
      </c>
      <c r="AR14" s="11">
        <f>AR13-'Income Statement'!AR5</f>
        <v>0</v>
      </c>
      <c r="AS14" s="11">
        <f>AS13-'Income Statement'!AS5</f>
        <v>0</v>
      </c>
      <c r="AT14" s="61">
        <f>AT13-'Income Statement'!AT5</f>
        <v>0</v>
      </c>
      <c r="AU14" s="11">
        <f>AU13-'Income Statement'!AU5</f>
        <v>0</v>
      </c>
      <c r="AV14" s="11">
        <f>AV13-'Income Statement'!AV5</f>
        <v>0</v>
      </c>
      <c r="AW14" s="11">
        <f>AW13-'Income Statement'!AW5</f>
        <v>0</v>
      </c>
      <c r="AX14" s="11">
        <f>AX13-'Income Statement'!AX5</f>
        <v>0</v>
      </c>
      <c r="AY14" s="61">
        <f>AY13-'Income Statement'!AY5</f>
        <v>0</v>
      </c>
      <c r="AZ14" s="11">
        <f>AZ13-'Income Statement'!AZ5</f>
        <v>0</v>
      </c>
      <c r="BA14" s="11">
        <f>BA13-'Income Statement'!BA5</f>
        <v>0</v>
      </c>
      <c r="BB14" s="11">
        <f>BB13-'Income Statement'!BB5</f>
        <v>0</v>
      </c>
      <c r="BC14" s="11">
        <f>BC13-'Income Statement'!BC5</f>
        <v>0</v>
      </c>
      <c r="BD14" s="61">
        <f>BD13-'Income Statement'!BD5</f>
        <v>0</v>
      </c>
      <c r="BE14" s="11">
        <f>BE13-'Income Statement'!BE5</f>
        <v>0</v>
      </c>
      <c r="BF14" s="11">
        <f>BF13-'Income Statement'!BF5</f>
        <v>0</v>
      </c>
      <c r="BG14" s="11">
        <f>BG13-'Income Statement'!BG5</f>
        <v>0</v>
      </c>
      <c r="BH14" s="11">
        <f>BH13-'Income Statement'!BH5</f>
        <v>0</v>
      </c>
      <c r="BI14" s="61">
        <f>BI13-'Income Statement'!BI5</f>
        <v>0</v>
      </c>
      <c r="BJ14" s="11">
        <f>BJ13-'Income Statement'!BJ5</f>
        <v>0</v>
      </c>
      <c r="BK14" s="11">
        <f>BK13-'Income Statement'!BK5</f>
        <v>0</v>
      </c>
      <c r="BL14" s="11">
        <f>BL13-'Income Statement'!BL5</f>
        <v>0</v>
      </c>
      <c r="BM14" s="11">
        <f>BM13-'Income Statement'!BM5</f>
        <v>0</v>
      </c>
      <c r="BN14" s="61">
        <f>BN13-'Income Statement'!BN5</f>
        <v>0</v>
      </c>
      <c r="BO14" s="11">
        <f>BO13-'Income Statement'!BO5</f>
        <v>0</v>
      </c>
      <c r="BP14" s="11">
        <f>BP13-'Income Statement'!BP5</f>
        <v>0</v>
      </c>
      <c r="BQ14" s="11">
        <f>BQ13-'Income Statement'!BQ5</f>
        <v>0</v>
      </c>
      <c r="BR14" s="11">
        <f>BR13-'Income Statement'!BR5</f>
        <v>0</v>
      </c>
      <c r="BS14" s="61">
        <f>BS13-'Income Statement'!BS5</f>
        <v>0</v>
      </c>
      <c r="BT14" s="11">
        <f>BT13-'Income Statement'!BT5</f>
        <v>0</v>
      </c>
      <c r="BU14" s="11">
        <f>BU13-'Income Statement'!BU5</f>
        <v>0</v>
      </c>
      <c r="BV14" s="11">
        <f>BV13-'Income Statement'!BV5</f>
        <v>0</v>
      </c>
      <c r="BW14" s="11">
        <f>BW13-'Income Statement'!BW5</f>
        <v>0</v>
      </c>
      <c r="BX14" s="61">
        <f>BX13-'Income Statement'!BX5</f>
        <v>0</v>
      </c>
      <c r="BY14" s="11">
        <f>BY13-'Income Statement'!BY5</f>
        <v>0</v>
      </c>
      <c r="BZ14" s="11">
        <f>BZ13-'Income Statement'!BZ5</f>
        <v>0</v>
      </c>
      <c r="CA14" s="11">
        <f>CA13-'Income Statement'!CA5</f>
        <v>0</v>
      </c>
      <c r="CB14" s="11">
        <f>CB13-'Income Statement'!CB5</f>
        <v>0</v>
      </c>
      <c r="CC14" s="61">
        <f>CC13-'Income Statement'!CC5</f>
        <v>0</v>
      </c>
      <c r="CD14" s="11">
        <f>CD13-'Income Statement'!CD5</f>
        <v>0</v>
      </c>
      <c r="CE14" s="11">
        <f>CE13-'Income Statement'!CE5</f>
        <v>0</v>
      </c>
      <c r="CF14" s="11">
        <f>CF13-'Income Statement'!CF5</f>
        <v>0</v>
      </c>
      <c r="CG14" s="11">
        <f>CG13-'Income Statement'!CG5</f>
        <v>0</v>
      </c>
      <c r="CH14" s="61">
        <f>CH13-'Income Statement'!CH5</f>
        <v>0</v>
      </c>
      <c r="CI14" s="11">
        <f>CI13-'Income Statement'!CI5</f>
        <v>0</v>
      </c>
      <c r="CJ14" s="11">
        <f>CJ13-'Income Statement'!CJ5</f>
        <v>0</v>
      </c>
      <c r="CK14" s="11">
        <f>CK13-'Income Statement'!CK5</f>
        <v>0</v>
      </c>
      <c r="CL14" s="11">
        <f>CL13-'Income Statement'!CL5</f>
        <v>0</v>
      </c>
      <c r="CM14" s="61">
        <f>CM13-'Income Statement'!CM5</f>
        <v>0</v>
      </c>
      <c r="CN14" s="11">
        <f>CN13-'Income Statement'!CN5</f>
        <v>0</v>
      </c>
      <c r="CO14" s="11">
        <f>CO13-'Income Statement'!CO5</f>
        <v>0</v>
      </c>
      <c r="CP14" s="11"/>
      <c r="CQ14" s="11"/>
      <c r="CR14" s="61">
        <f>CR13-'Income Statement'!CR5</f>
        <v>0</v>
      </c>
    </row>
    <row r="15" spans="1:96" s="30" customFormat="1" ht="11.15" customHeight="1" x14ac:dyDescent="0.25">
      <c r="A15" s="35" t="s">
        <v>100</v>
      </c>
      <c r="B15" s="28"/>
      <c r="C15" s="28"/>
      <c r="D15" s="29"/>
      <c r="E15" s="29"/>
      <c r="F15" s="75"/>
      <c r="G15" s="28"/>
      <c r="H15" s="28"/>
      <c r="I15" s="29"/>
      <c r="J15" s="29"/>
      <c r="K15" s="75"/>
      <c r="L15" s="28"/>
      <c r="M15" s="28"/>
      <c r="N15" s="29"/>
      <c r="O15" s="29"/>
      <c r="P15" s="75"/>
      <c r="Q15" s="28"/>
      <c r="R15" s="28"/>
      <c r="S15" s="29"/>
      <c r="T15" s="29"/>
      <c r="U15" s="75"/>
      <c r="V15" s="28"/>
      <c r="W15" s="28"/>
      <c r="X15" s="29"/>
      <c r="Y15" s="29"/>
      <c r="Z15" s="75"/>
      <c r="AA15" s="28"/>
      <c r="AB15" s="28"/>
      <c r="AC15" s="29"/>
      <c r="AD15" s="29"/>
      <c r="AE15" s="75"/>
      <c r="AF15" s="28"/>
      <c r="AG15" s="28"/>
      <c r="AH15" s="29"/>
      <c r="AI15" s="29"/>
      <c r="AJ15" s="75"/>
      <c r="AK15" s="28"/>
      <c r="AL15" s="28"/>
      <c r="AM15" s="29"/>
      <c r="AN15" s="29"/>
      <c r="AO15" s="75"/>
      <c r="AP15" s="28"/>
      <c r="AQ15" s="28"/>
      <c r="AR15" s="29"/>
      <c r="AS15" s="29"/>
      <c r="AT15" s="75"/>
      <c r="AU15" s="28"/>
      <c r="AV15" s="28"/>
      <c r="AW15" s="29"/>
      <c r="AX15" s="29"/>
      <c r="AY15" s="75"/>
      <c r="AZ15" s="55"/>
      <c r="BA15" s="28"/>
      <c r="BB15" s="29"/>
      <c r="BC15" s="29"/>
      <c r="BD15" s="75"/>
      <c r="BE15" s="28"/>
      <c r="BF15" s="28"/>
      <c r="BG15" s="29"/>
      <c r="BH15" s="29"/>
      <c r="BI15" s="75"/>
      <c r="BJ15" s="28"/>
      <c r="BK15" s="28"/>
      <c r="BL15" s="29"/>
      <c r="BM15" s="29"/>
      <c r="BN15" s="75"/>
      <c r="BO15" s="28"/>
      <c r="BP15" s="28"/>
      <c r="BQ15" s="28"/>
      <c r="BR15" s="29"/>
      <c r="BS15" s="75"/>
      <c r="BT15" s="28"/>
      <c r="BU15" s="28"/>
      <c r="BV15" s="28"/>
      <c r="BW15" s="29"/>
      <c r="BX15" s="75"/>
      <c r="BY15" s="28"/>
      <c r="BZ15" s="28"/>
      <c r="CA15" s="28"/>
      <c r="CB15" s="29"/>
      <c r="CC15" s="75"/>
      <c r="CD15" s="28"/>
      <c r="CE15" s="28"/>
      <c r="CF15" s="28"/>
      <c r="CG15" s="28"/>
      <c r="CH15" s="75"/>
      <c r="CI15" s="28"/>
      <c r="CJ15" s="28"/>
      <c r="CK15" s="28"/>
      <c r="CL15" s="28"/>
      <c r="CM15" s="75"/>
      <c r="CN15" s="28"/>
      <c r="CO15" s="28"/>
      <c r="CP15" s="28"/>
      <c r="CQ15" s="28"/>
      <c r="CR15" s="75"/>
    </row>
    <row r="16" spans="1:96" s="30" customFormat="1" ht="11.15" customHeight="1" x14ac:dyDescent="0.2">
      <c r="A16" s="7" t="s">
        <v>244</v>
      </c>
      <c r="B16" s="8"/>
      <c r="C16" s="8"/>
      <c r="D16" s="8"/>
      <c r="E16" s="8"/>
      <c r="F16" s="67">
        <f>F6/F$13</f>
        <v>0.31781462733461335</v>
      </c>
      <c r="G16" s="8"/>
      <c r="H16" s="8"/>
      <c r="I16" s="8"/>
      <c r="J16" s="8"/>
      <c r="K16" s="67">
        <f>K6/K$13</f>
        <v>0.2823449599050229</v>
      </c>
      <c r="L16" s="8"/>
      <c r="M16" s="8"/>
      <c r="N16" s="8"/>
      <c r="O16" s="8"/>
      <c r="P16" s="67">
        <f t="shared" ref="P16:P23" si="18">P6/P$13</f>
        <v>0.22707747647069096</v>
      </c>
      <c r="Q16" s="8"/>
      <c r="R16" s="8"/>
      <c r="S16" s="8"/>
      <c r="T16" s="8"/>
      <c r="U16" s="67">
        <f t="shared" ref="U16:U23" si="19">U6/U$13</f>
        <v>0.24566688542933068</v>
      </c>
      <c r="V16" s="8"/>
      <c r="W16" s="8"/>
      <c r="X16" s="8"/>
      <c r="Y16" s="8"/>
      <c r="Z16" s="67">
        <f t="shared" ref="Z16:Z23" si="20">Z6/Z$13</f>
        <v>0.20619803780041168</v>
      </c>
      <c r="AA16" s="8"/>
      <c r="AB16" s="8"/>
      <c r="AC16" s="8"/>
      <c r="AD16" s="8"/>
      <c r="AE16" s="67">
        <f t="shared" ref="AE16:AE23" si="21">AE6/AE$13</f>
        <v>0.18163175842286958</v>
      </c>
      <c r="AF16" s="8"/>
      <c r="AG16" s="8"/>
      <c r="AH16" s="8"/>
      <c r="AI16" s="8"/>
      <c r="AJ16" s="67">
        <f t="shared" ref="AJ16:AO23" si="22">AJ6/AJ$13</f>
        <v>0.19255219295750611</v>
      </c>
      <c r="AK16" s="46">
        <f t="shared" si="22"/>
        <v>0.17081888165129855</v>
      </c>
      <c r="AL16" s="46">
        <f t="shared" si="22"/>
        <v>0.17034447080650053</v>
      </c>
      <c r="AM16" s="46">
        <f t="shared" si="22"/>
        <v>0.1823795250708676</v>
      </c>
      <c r="AN16" s="46">
        <f t="shared" si="22"/>
        <v>0.17350882375994067</v>
      </c>
      <c r="AO16" s="67">
        <f t="shared" si="22"/>
        <v>0.17445535265124978</v>
      </c>
      <c r="AP16" s="46">
        <f t="shared" ref="AP16:AT23" si="23">AP6/AP$13</f>
        <v>0.13394694415946065</v>
      </c>
      <c r="AQ16" s="46">
        <f t="shared" si="23"/>
        <v>0.12884747455828183</v>
      </c>
      <c r="AR16" s="46">
        <f t="shared" si="23"/>
        <v>0.1257744764614252</v>
      </c>
      <c r="AS16" s="46">
        <f t="shared" si="23"/>
        <v>0.18822383583572</v>
      </c>
      <c r="AT16" s="67">
        <f t="shared" si="23"/>
        <v>0.14517712955553938</v>
      </c>
      <c r="AU16" s="46">
        <f t="shared" ref="AU16:AU23" si="24">AU6/AU$13</f>
        <v>0.14393848009650181</v>
      </c>
      <c r="AV16" s="46">
        <f t="shared" ref="AV16:AX16" si="25">AV6/AV$13</f>
        <v>0.11352057089879135</v>
      </c>
      <c r="AW16" s="46">
        <f t="shared" si="25"/>
        <v>0.14886610468052608</v>
      </c>
      <c r="AX16" s="46">
        <f t="shared" si="25"/>
        <v>0.17859282909858423</v>
      </c>
      <c r="AY16" s="67">
        <f t="shared" ref="AY16:AZ23" si="26">AY6/AY$13</f>
        <v>0.14593266131492957</v>
      </c>
      <c r="AZ16" s="46">
        <f t="shared" si="26"/>
        <v>0.15308712267428395</v>
      </c>
      <c r="BA16" s="46">
        <f t="shared" ref="BA16:BC16" si="27">BA6/BA$13</f>
        <v>0.12793774996340793</v>
      </c>
      <c r="BB16" s="46">
        <f t="shared" si="27"/>
        <v>0.13810395576222573</v>
      </c>
      <c r="BC16" s="46">
        <f t="shared" si="27"/>
        <v>0.1441448516890915</v>
      </c>
      <c r="BD16" s="67">
        <f t="shared" ref="BD16:BE23" si="28">BD6/BD$13</f>
        <v>0.1403178181088143</v>
      </c>
      <c r="BE16" s="46">
        <f t="shared" si="28"/>
        <v>0.13260636846413804</v>
      </c>
      <c r="BF16" s="46">
        <f t="shared" ref="BF16:BG16" si="29">BF6/BF$13</f>
        <v>0.10548686558032125</v>
      </c>
      <c r="BG16" s="46">
        <f t="shared" si="29"/>
        <v>0.10586197674566687</v>
      </c>
      <c r="BH16" s="46">
        <f t="shared" ref="BH16" si="30">BH6/BH$13</f>
        <v>0.12996357895611471</v>
      </c>
      <c r="BI16" s="67">
        <f t="shared" ref="BI16:BK16" si="31">BI6/BI$13</f>
        <v>0.11736623680076996</v>
      </c>
      <c r="BJ16" s="46">
        <f t="shared" si="31"/>
        <v>0.10886612720361025</v>
      </c>
      <c r="BK16" s="46">
        <f t="shared" si="31"/>
        <v>0.11548476474385476</v>
      </c>
      <c r="BL16" s="46">
        <f>BL6/BL$13</f>
        <v>0.15087022163851987</v>
      </c>
      <c r="BM16" s="46">
        <f t="shared" ref="BM16:BP23" si="32">BM6/BM$13</f>
        <v>0.18796186043975022</v>
      </c>
      <c r="BN16" s="67">
        <f t="shared" si="32"/>
        <v>0.13887636878251136</v>
      </c>
      <c r="BO16" s="46">
        <f t="shared" si="32"/>
        <v>0.20570581532279311</v>
      </c>
      <c r="BP16" s="46">
        <f t="shared" si="32"/>
        <v>0.17632068702940604</v>
      </c>
      <c r="BQ16" s="46">
        <f t="shared" ref="BQ16:BU16" si="33">BQ6/BQ$13</f>
        <v>0.21571498884966184</v>
      </c>
      <c r="BR16" s="46">
        <f t="shared" si="33"/>
        <v>0.26396566512407582</v>
      </c>
      <c r="BS16" s="67">
        <f t="shared" si="33"/>
        <v>0.21366960270991289</v>
      </c>
      <c r="BT16" s="46">
        <f t="shared" si="33"/>
        <v>0.27017517111883232</v>
      </c>
      <c r="BU16" s="46">
        <f t="shared" si="33"/>
        <v>0.18184547806930243</v>
      </c>
      <c r="BV16" s="46">
        <f t="shared" ref="BV16:BW16" si="34">BV6/BV$13</f>
        <v>0.16559425450868451</v>
      </c>
      <c r="BW16" s="46">
        <f t="shared" si="34"/>
        <v>0.2145293051718504</v>
      </c>
      <c r="BX16" s="67">
        <f t="shared" ref="BX16:BY16" si="35">BX6/BX$13</f>
        <v>0.20503379627624665</v>
      </c>
      <c r="BY16" s="46">
        <f t="shared" si="35"/>
        <v>0.2123471794204031</v>
      </c>
      <c r="BZ16" s="46">
        <f t="shared" ref="BZ16:CA20" si="36">BZ6/BZ$13</f>
        <v>0.1779431628002088</v>
      </c>
      <c r="CA16" s="46">
        <f t="shared" si="36"/>
        <v>0.21523143874456019</v>
      </c>
      <c r="CB16" s="46">
        <f t="shared" ref="CB16" si="37">CB6/CB$13</f>
        <v>0.25752948826642741</v>
      </c>
      <c r="CC16" s="67">
        <f t="shared" ref="CC16:CC23" si="38">CC6/CC$13</f>
        <v>0.21561545938693646</v>
      </c>
      <c r="CD16" s="46">
        <f t="shared" ref="CD16:CE23" si="39">CD6/CD$13</f>
        <v>0.20872806294411306</v>
      </c>
      <c r="CE16" s="46">
        <f t="shared" si="39"/>
        <v>0.23380801701752943</v>
      </c>
      <c r="CF16" s="46">
        <f t="shared" ref="CF16:CK16" si="40">CF6/CF$13</f>
        <v>0.23529394910116158</v>
      </c>
      <c r="CG16" s="46">
        <f t="shared" si="40"/>
        <v>0.27348525959483</v>
      </c>
      <c r="CH16" s="67">
        <f t="shared" si="40"/>
        <v>0.2369372955208888</v>
      </c>
      <c r="CI16" s="46">
        <f t="shared" si="40"/>
        <v>0.21914083427906467</v>
      </c>
      <c r="CJ16" s="46">
        <f t="shared" si="40"/>
        <v>0.23007844786761225</v>
      </c>
      <c r="CK16" s="46">
        <f t="shared" si="40"/>
        <v>0.23672449660087391</v>
      </c>
      <c r="CL16" s="46">
        <f t="shared" ref="CL16" si="41">CL6/CL$13</f>
        <v>0.2955472359673863</v>
      </c>
      <c r="CM16" s="67">
        <f>CM6/CM$13</f>
        <v>0.24388417626000145</v>
      </c>
      <c r="CN16" s="46">
        <f>CN6/CN$13</f>
        <v>0.25381633195639836</v>
      </c>
      <c r="CO16" s="46">
        <f>CO6/CO$13</f>
        <v>0.2984921112383318</v>
      </c>
      <c r="CP16" s="46"/>
      <c r="CQ16" s="46"/>
      <c r="CR16" s="67">
        <f>CR6/CR$13</f>
        <v>0.27640124476605699</v>
      </c>
    </row>
    <row r="17" spans="1:96" ht="11.15" customHeight="1" x14ac:dyDescent="0.2">
      <c r="A17" s="7" t="s">
        <v>37</v>
      </c>
      <c r="B17" s="11"/>
      <c r="C17" s="11"/>
      <c r="D17" s="11"/>
      <c r="E17" s="11"/>
      <c r="F17" s="67">
        <f>F7/F$13</f>
        <v>0.1707383487519637</v>
      </c>
      <c r="G17" s="11"/>
      <c r="H17" s="11"/>
      <c r="I17" s="11"/>
      <c r="J17" s="11"/>
      <c r="K17" s="67">
        <f>K7/K$13</f>
        <v>0.17728710971660563</v>
      </c>
      <c r="L17" s="11"/>
      <c r="M17" s="11"/>
      <c r="N17" s="11"/>
      <c r="O17" s="11"/>
      <c r="P17" s="67">
        <f t="shared" si="18"/>
        <v>0.19544168747489915</v>
      </c>
      <c r="Q17" s="11"/>
      <c r="R17" s="11"/>
      <c r="S17" s="11"/>
      <c r="T17" s="11"/>
      <c r="U17" s="67">
        <f t="shared" si="19"/>
        <v>0.15192529075709812</v>
      </c>
      <c r="V17" s="11"/>
      <c r="W17" s="11"/>
      <c r="X17" s="11"/>
      <c r="Y17" s="11"/>
      <c r="Z17" s="67">
        <f t="shared" si="20"/>
        <v>0.15465688240168951</v>
      </c>
      <c r="AA17" s="11"/>
      <c r="AB17" s="11"/>
      <c r="AC17" s="11"/>
      <c r="AD17" s="11"/>
      <c r="AE17" s="67">
        <f t="shared" si="21"/>
        <v>0.160762684358943</v>
      </c>
      <c r="AF17" s="11"/>
      <c r="AG17" s="11"/>
      <c r="AH17" s="11"/>
      <c r="AI17" s="11"/>
      <c r="AJ17" s="67">
        <f t="shared" si="22"/>
        <v>0.15972182718015815</v>
      </c>
      <c r="AK17" s="42">
        <f t="shared" si="22"/>
        <v>0.10305106730959028</v>
      </c>
      <c r="AL17" s="42">
        <f t="shared" si="22"/>
        <v>9.6514856901606105E-2</v>
      </c>
      <c r="AM17" s="42">
        <f t="shared" si="22"/>
        <v>0.10412890933593569</v>
      </c>
      <c r="AN17" s="42">
        <f t="shared" si="22"/>
        <v>9.9741346565456204E-2</v>
      </c>
      <c r="AO17" s="67">
        <f t="shared" si="22"/>
        <v>0.10079409413703602</v>
      </c>
      <c r="AP17" s="42">
        <f t="shared" si="23"/>
        <v>8.6560164150666863E-2</v>
      </c>
      <c r="AQ17" s="42">
        <f t="shared" si="23"/>
        <v>0.11145449626438576</v>
      </c>
      <c r="AR17" s="42">
        <f t="shared" si="23"/>
        <v>0.10299472579651492</v>
      </c>
      <c r="AS17" s="42">
        <f t="shared" si="23"/>
        <v>9.957956046711218E-2</v>
      </c>
      <c r="AT17" s="67">
        <f t="shared" si="23"/>
        <v>0.10054531378274741</v>
      </c>
      <c r="AU17" s="42">
        <f t="shared" si="24"/>
        <v>0.11422899075190993</v>
      </c>
      <c r="AV17" s="42">
        <f t="shared" ref="AV17:AX17" si="42">AV7/AV$13</f>
        <v>8.219003308695319E-2</v>
      </c>
      <c r="AW17" s="42">
        <f t="shared" si="42"/>
        <v>0.10566188034047655</v>
      </c>
      <c r="AX17" s="42">
        <f t="shared" si="42"/>
        <v>0.11636392906012717</v>
      </c>
      <c r="AY17" s="67">
        <f t="shared" si="26"/>
        <v>0.10408481412237244</v>
      </c>
      <c r="AZ17" s="42">
        <f t="shared" si="26"/>
        <v>0.11037500965027407</v>
      </c>
      <c r="BA17" s="42">
        <f t="shared" ref="BA17:BC17" si="43">BA7/BA$13</f>
        <v>9.3580761668914936E-2</v>
      </c>
      <c r="BB17" s="42">
        <f t="shared" si="43"/>
        <v>8.3190172056673076E-2</v>
      </c>
      <c r="BC17" s="42">
        <f t="shared" si="43"/>
        <v>7.9365702678485375E-2</v>
      </c>
      <c r="BD17" s="67">
        <f t="shared" si="28"/>
        <v>9.0335359823807637E-2</v>
      </c>
      <c r="BE17" s="42">
        <f t="shared" si="28"/>
        <v>8.1729322782197411E-2</v>
      </c>
      <c r="BF17" s="42">
        <f t="shared" ref="BF17:BG17" si="44">BF7/BF$13</f>
        <v>7.0278553115685233E-2</v>
      </c>
      <c r="BG17" s="42">
        <f t="shared" si="44"/>
        <v>8.8287508118640404E-2</v>
      </c>
      <c r="BH17" s="42">
        <f t="shared" ref="BH17" si="45">BH7/BH$13</f>
        <v>8.4820872166290459E-2</v>
      </c>
      <c r="BI17" s="67">
        <f t="shared" ref="BI17:BK17" si="46">BI7/BI$13</f>
        <v>8.1347075603542929E-2</v>
      </c>
      <c r="BJ17" s="42">
        <f t="shared" si="46"/>
        <v>9.2357112687015089E-2</v>
      </c>
      <c r="BK17" s="42">
        <f t="shared" si="46"/>
        <v>7.7340412414503415E-2</v>
      </c>
      <c r="BL17" s="46">
        <f>BL7/BL$13</f>
        <v>6.0935158525702547E-2</v>
      </c>
      <c r="BM17" s="42">
        <f t="shared" si="32"/>
        <v>7.3685581925217625E-2</v>
      </c>
      <c r="BN17" s="67">
        <f t="shared" si="32"/>
        <v>7.6211371666321887E-2</v>
      </c>
      <c r="BO17" s="42">
        <f t="shared" si="32"/>
        <v>5.9099118544217212E-2</v>
      </c>
      <c r="BP17" s="42">
        <f t="shared" si="32"/>
        <v>6.5052272183720991E-2</v>
      </c>
      <c r="BQ17" s="42">
        <f t="shared" ref="BQ17:BU17" si="47">BQ7/BQ$13</f>
        <v>5.2269868565768762E-2</v>
      </c>
      <c r="BR17" s="42">
        <f t="shared" si="47"/>
        <v>7.1350533384209477E-2</v>
      </c>
      <c r="BS17" s="67">
        <f t="shared" si="47"/>
        <v>6.1894246151435323E-2</v>
      </c>
      <c r="BT17" s="42">
        <f t="shared" si="47"/>
        <v>6.9855802794071623E-2</v>
      </c>
      <c r="BU17" s="42">
        <f t="shared" si="47"/>
        <v>5.9491719268178304E-2</v>
      </c>
      <c r="BV17" s="42">
        <f t="shared" ref="BV17:BW17" si="48">BV7/BV$13</f>
        <v>5.075665507896282E-2</v>
      </c>
      <c r="BW17" s="42">
        <f t="shared" si="48"/>
        <v>4.2889819683331845E-2</v>
      </c>
      <c r="BX17" s="67">
        <f t="shared" ref="BX17" si="49">BX7/BX$13</f>
        <v>5.4672014551220761E-2</v>
      </c>
      <c r="BY17" s="42">
        <f t="shared" ref="BY17:BY19" si="50">BY7/BY$13</f>
        <v>7.5987094347266235E-2</v>
      </c>
      <c r="BZ17" s="42">
        <f t="shared" si="36"/>
        <v>5.8516162708726838E-2</v>
      </c>
      <c r="CA17" s="42">
        <f t="shared" si="36"/>
        <v>7.0768825003296842E-2</v>
      </c>
      <c r="CB17" s="42">
        <f t="shared" ref="CB17" si="51">CB7/CB$13</f>
        <v>7.3800920247923674E-2</v>
      </c>
      <c r="CC17" s="67">
        <f t="shared" si="38"/>
        <v>6.9642539326150346E-2</v>
      </c>
      <c r="CD17" s="42">
        <f t="shared" si="39"/>
        <v>7.4104205914389737E-2</v>
      </c>
      <c r="CE17" s="42">
        <f t="shared" si="39"/>
        <v>6.0452545335430465E-2</v>
      </c>
      <c r="CF17" s="42">
        <f t="shared" ref="CF17:CG17" si="52">CF7/CF$13</f>
        <v>5.9087809378635323E-2</v>
      </c>
      <c r="CG17" s="42">
        <f t="shared" si="52"/>
        <v>4.3952881072378346E-2</v>
      </c>
      <c r="CH17" s="67">
        <f t="shared" ref="CH17:CI17" si="53">CH7/CH$13</f>
        <v>5.9802860626478181E-2</v>
      </c>
      <c r="CI17" s="42">
        <f t="shared" si="53"/>
        <v>5.7126973794120531E-2</v>
      </c>
      <c r="CJ17" s="42">
        <f>CJ7/CJ$13</f>
        <v>8.5189619114571541E-2</v>
      </c>
      <c r="CK17" s="42">
        <f>CK7/CK$13</f>
        <v>7.7713743484593617E-2</v>
      </c>
      <c r="CL17" s="42">
        <f>CL7/CL$13</f>
        <v>5.2888491868327461E-2</v>
      </c>
      <c r="CM17" s="67">
        <f t="shared" ref="CM17:CO23" si="54">CM7/CM$13</f>
        <v>6.8372948155213567E-2</v>
      </c>
      <c r="CN17" s="42">
        <f t="shared" ref="CN17:CO19" si="55">CN7/CN$13</f>
        <v>7.9437639131935758E-2</v>
      </c>
      <c r="CO17" s="42">
        <f t="shared" si="55"/>
        <v>8.07661705059287E-2</v>
      </c>
      <c r="CP17" s="42"/>
      <c r="CQ17" s="42"/>
      <c r="CR17" s="67">
        <f t="shared" ref="CR17:CR23" si="56">CR7/CR$13</f>
        <v>8.0109250589615696E-2</v>
      </c>
    </row>
    <row r="18" spans="1:96" ht="11.15" customHeight="1" x14ac:dyDescent="0.2">
      <c r="A18" s="7" t="s">
        <v>245</v>
      </c>
      <c r="B18" s="11"/>
      <c r="C18" s="11"/>
      <c r="D18" s="11"/>
      <c r="E18" s="11"/>
      <c r="F18" s="67">
        <f>F8/F$13</f>
        <v>0.1678268458718799</v>
      </c>
      <c r="G18" s="11"/>
      <c r="H18" s="11"/>
      <c r="I18" s="11"/>
      <c r="J18" s="11"/>
      <c r="K18" s="67">
        <f>K8/K$13</f>
        <v>0.20853098151868008</v>
      </c>
      <c r="L18" s="11"/>
      <c r="M18" s="11"/>
      <c r="N18" s="11"/>
      <c r="O18" s="11"/>
      <c r="P18" s="67">
        <f t="shared" si="18"/>
        <v>0.21523861076673242</v>
      </c>
      <c r="Q18" s="11"/>
      <c r="R18" s="11"/>
      <c r="S18" s="11"/>
      <c r="T18" s="11"/>
      <c r="U18" s="67">
        <f t="shared" si="19"/>
        <v>0.22685508945958449</v>
      </c>
      <c r="V18" s="11"/>
      <c r="W18" s="11"/>
      <c r="X18" s="11"/>
      <c r="Y18" s="11"/>
      <c r="Z18" s="67">
        <f t="shared" si="20"/>
        <v>0.2211283984281017</v>
      </c>
      <c r="AA18" s="11"/>
      <c r="AB18" s="11"/>
      <c r="AC18" s="11"/>
      <c r="AD18" s="11"/>
      <c r="AE18" s="67">
        <f t="shared" si="21"/>
        <v>0.21772164170611319</v>
      </c>
      <c r="AF18" s="11"/>
      <c r="AG18" s="11"/>
      <c r="AH18" s="11"/>
      <c r="AI18" s="11"/>
      <c r="AJ18" s="67">
        <f t="shared" si="22"/>
        <v>0.19707463450708232</v>
      </c>
      <c r="AK18" s="42">
        <f t="shared" si="22"/>
        <v>0.21655669289118235</v>
      </c>
      <c r="AL18" s="42">
        <f t="shared" si="22"/>
        <v>0.18372370979538682</v>
      </c>
      <c r="AM18" s="42">
        <f t="shared" si="22"/>
        <v>0.18151981969422371</v>
      </c>
      <c r="AN18" s="42">
        <f t="shared" si="22"/>
        <v>0.28815439620400463</v>
      </c>
      <c r="AO18" s="67">
        <f t="shared" si="22"/>
        <v>0.21705342620911866</v>
      </c>
      <c r="AP18" s="42">
        <f t="shared" si="23"/>
        <v>0.23759050271141727</v>
      </c>
      <c r="AQ18" s="42">
        <f t="shared" si="23"/>
        <v>0.22125970323198269</v>
      </c>
      <c r="AR18" s="42">
        <f t="shared" si="23"/>
        <v>0.19952817666828615</v>
      </c>
      <c r="AS18" s="42">
        <f t="shared" si="23"/>
        <v>0.23494469677245156</v>
      </c>
      <c r="AT18" s="67">
        <f t="shared" si="23"/>
        <v>0.22292915856966194</v>
      </c>
      <c r="AU18" s="42">
        <f t="shared" si="24"/>
        <v>0.21292722155207078</v>
      </c>
      <c r="AV18" s="42">
        <f t="shared" ref="AV18:AX18" si="57">AV8/AV$13</f>
        <v>0.21781677142784237</v>
      </c>
      <c r="AW18" s="42">
        <f t="shared" si="57"/>
        <v>0.20842486480715772</v>
      </c>
      <c r="AX18" s="42">
        <f t="shared" si="57"/>
        <v>0.20022716499870319</v>
      </c>
      <c r="AY18" s="67">
        <f t="shared" si="26"/>
        <v>0.20983506515841624</v>
      </c>
      <c r="AZ18" s="42">
        <f t="shared" si="26"/>
        <v>0.21915772407936385</v>
      </c>
      <c r="BA18" s="42">
        <f t="shared" ref="BA18:BC18" si="58">BA8/BA$13</f>
        <v>0.21092461242073365</v>
      </c>
      <c r="BB18" s="42">
        <f t="shared" si="58"/>
        <v>0.21297511061323149</v>
      </c>
      <c r="BC18" s="42">
        <f t="shared" si="58"/>
        <v>0.24790001463653208</v>
      </c>
      <c r="BD18" s="67">
        <f t="shared" si="28"/>
        <v>0.22345660239342538</v>
      </c>
      <c r="BE18" s="42">
        <f t="shared" si="28"/>
        <v>0.2189430672459996</v>
      </c>
      <c r="BF18" s="42">
        <f t="shared" ref="BF18:BG18" si="59">BF8/BF$13</f>
        <v>0.17899521621775277</v>
      </c>
      <c r="BG18" s="42">
        <f t="shared" si="59"/>
        <v>0.21257211262942069</v>
      </c>
      <c r="BH18" s="42">
        <f t="shared" ref="BH18" si="60">BH8/BH$13</f>
        <v>0.21579260777443879</v>
      </c>
      <c r="BI18" s="67">
        <f t="shared" ref="BI18:BL18" si="61">BI8/BI$13</f>
        <v>0.20588705000890772</v>
      </c>
      <c r="BJ18" s="42">
        <f t="shared" si="61"/>
        <v>0.23058155303114511</v>
      </c>
      <c r="BK18" s="42">
        <f t="shared" si="61"/>
        <v>0.18458559087842985</v>
      </c>
      <c r="BL18" s="46">
        <f t="shared" si="61"/>
        <v>0.18631330223995779</v>
      </c>
      <c r="BM18" s="42">
        <f t="shared" si="32"/>
        <v>0.21572423655738052</v>
      </c>
      <c r="BN18" s="67">
        <f t="shared" si="32"/>
        <v>0.20338536065441265</v>
      </c>
      <c r="BO18" s="42">
        <f t="shared" si="32"/>
        <v>0.2196497665427698</v>
      </c>
      <c r="BP18" s="42">
        <f t="shared" si="32"/>
        <v>0.168048954143976</v>
      </c>
      <c r="BQ18" s="42">
        <f t="shared" ref="BQ18:BU18" si="62">BQ8/BQ$13</f>
        <v>0.18896633023230378</v>
      </c>
      <c r="BR18" s="42">
        <f t="shared" si="62"/>
        <v>0.18701549439547072</v>
      </c>
      <c r="BS18" s="67">
        <f t="shared" si="62"/>
        <v>0.19007653389178758</v>
      </c>
      <c r="BT18" s="42">
        <f t="shared" si="62"/>
        <v>0.2296242206369713</v>
      </c>
      <c r="BU18" s="42">
        <f t="shared" si="62"/>
        <v>0.15703533269682973</v>
      </c>
      <c r="BV18" s="42">
        <f t="shared" ref="BV18:BW18" si="63">BV8/BV$13</f>
        <v>0.17242440514883448</v>
      </c>
      <c r="BW18" s="42">
        <f t="shared" si="63"/>
        <v>0.18077414371862283</v>
      </c>
      <c r="BX18" s="67">
        <f>BX8/BX$13</f>
        <v>0.18283968672234419</v>
      </c>
      <c r="BY18" s="42">
        <f t="shared" si="50"/>
        <v>0.16954728937887928</v>
      </c>
      <c r="BZ18" s="42">
        <f t="shared" si="36"/>
        <v>0.20001991077818854</v>
      </c>
      <c r="CA18" s="42">
        <f t="shared" si="36"/>
        <v>0.21041012791771066</v>
      </c>
      <c r="CB18" s="42">
        <f t="shared" ref="CB18" si="64">CB8/CB$13</f>
        <v>0.20969525361692554</v>
      </c>
      <c r="CC18" s="67">
        <f t="shared" si="38"/>
        <v>0.19792177210684117</v>
      </c>
      <c r="CD18" s="42">
        <f t="shared" si="39"/>
        <v>0.21622848864395006</v>
      </c>
      <c r="CE18" s="42">
        <f t="shared" si="39"/>
        <v>0.20000636565938948</v>
      </c>
      <c r="CF18" s="42">
        <f t="shared" ref="CF18:CG18" si="65">CF8/CF$13</f>
        <v>0.20725145126444819</v>
      </c>
      <c r="CG18" s="42">
        <f t="shared" si="65"/>
        <v>0.20010253673483461</v>
      </c>
      <c r="CH18" s="67">
        <f t="shared" ref="CH18:CI18" si="66">CH8/CH$13</f>
        <v>0.20599602531431285</v>
      </c>
      <c r="CI18" s="42">
        <f t="shared" si="66"/>
        <v>0.23164177040907441</v>
      </c>
      <c r="CJ18" s="42">
        <f t="shared" ref="CJ18:CK18" si="67">CJ8/CJ$13</f>
        <v>0.2143271043706669</v>
      </c>
      <c r="CK18" s="42">
        <f t="shared" si="67"/>
        <v>0.23870524649885036</v>
      </c>
      <c r="CL18" s="42">
        <f t="shared" ref="CL18" si="68">CL8/CL$13</f>
        <v>0.22116610291977395</v>
      </c>
      <c r="CM18" s="67">
        <f t="shared" si="54"/>
        <v>0.2262911097147127</v>
      </c>
      <c r="CN18" s="42">
        <f t="shared" si="55"/>
        <v>0.23609077453583008</v>
      </c>
      <c r="CO18" s="42">
        <f t="shared" si="55"/>
        <v>0.20851171185157871</v>
      </c>
      <c r="CP18" s="42"/>
      <c r="CQ18" s="42"/>
      <c r="CR18" s="67">
        <f t="shared" si="56"/>
        <v>0.22214875189834671</v>
      </c>
    </row>
    <row r="19" spans="1:96" ht="11.15" customHeight="1" x14ac:dyDescent="0.2">
      <c r="A19" s="7" t="s">
        <v>97</v>
      </c>
      <c r="B19" s="11"/>
      <c r="C19" s="11"/>
      <c r="D19" s="11"/>
      <c r="E19" s="11"/>
      <c r="F19" s="67"/>
      <c r="G19" s="11"/>
      <c r="H19" s="11"/>
      <c r="I19" s="11"/>
      <c r="J19" s="11"/>
      <c r="K19" s="67"/>
      <c r="L19" s="11"/>
      <c r="M19" s="11"/>
      <c r="N19" s="11"/>
      <c r="O19" s="11"/>
      <c r="P19" s="67">
        <f t="shared" si="18"/>
        <v>6.452443730464999E-2</v>
      </c>
      <c r="Q19" s="11"/>
      <c r="R19" s="11"/>
      <c r="S19" s="11"/>
      <c r="T19" s="11"/>
      <c r="U19" s="67">
        <f t="shared" si="19"/>
        <v>0.16104339031921416</v>
      </c>
      <c r="V19" s="11"/>
      <c r="W19" s="11"/>
      <c r="X19" s="11"/>
      <c r="Y19" s="11"/>
      <c r="Z19" s="67">
        <f t="shared" si="20"/>
        <v>0.19301868634212849</v>
      </c>
      <c r="AA19" s="11"/>
      <c r="AB19" s="11"/>
      <c r="AC19" s="11"/>
      <c r="AD19" s="11"/>
      <c r="AE19" s="67">
        <f t="shared" si="21"/>
        <v>0.2203666314001374</v>
      </c>
      <c r="AF19" s="11"/>
      <c r="AG19" s="11"/>
      <c r="AH19" s="11"/>
      <c r="AI19" s="11"/>
      <c r="AJ19" s="67">
        <f t="shared" si="22"/>
        <v>0.24671127481654245</v>
      </c>
      <c r="AK19" s="42">
        <f t="shared" si="22"/>
        <v>0.26092688153850491</v>
      </c>
      <c r="AL19" s="42">
        <f t="shared" si="22"/>
        <v>0.34753316564687137</v>
      </c>
      <c r="AM19" s="42">
        <f t="shared" si="22"/>
        <v>0.32687973418839167</v>
      </c>
      <c r="AN19" s="42">
        <f t="shared" si="22"/>
        <v>0.24341760169782767</v>
      </c>
      <c r="AO19" s="67">
        <f t="shared" si="22"/>
        <v>0.29644123610798201</v>
      </c>
      <c r="AP19" s="42">
        <f t="shared" si="23"/>
        <v>0.27695148761541843</v>
      </c>
      <c r="AQ19" s="42">
        <f t="shared" si="23"/>
        <v>0.34139768162993483</v>
      </c>
      <c r="AR19" s="42">
        <f t="shared" si="23"/>
        <v>0.36254764564164466</v>
      </c>
      <c r="AS19" s="42">
        <f t="shared" si="23"/>
        <v>0.29495858284876714</v>
      </c>
      <c r="AT19" s="67">
        <f t="shared" si="23"/>
        <v>0.32009191615833066</v>
      </c>
      <c r="AU19" s="42">
        <f t="shared" si="24"/>
        <v>0.28414254121431443</v>
      </c>
      <c r="AV19" s="42">
        <f t="shared" ref="AV19:AX19" si="69">AV9/AV$13</f>
        <v>0.39499783106090891</v>
      </c>
      <c r="AW19" s="42">
        <f t="shared" si="69"/>
        <v>0.38371362522121533</v>
      </c>
      <c r="AX19" s="42">
        <f t="shared" si="69"/>
        <v>0.30892203947662616</v>
      </c>
      <c r="AY19" s="67">
        <f t="shared" si="26"/>
        <v>0.34611906597948439</v>
      </c>
      <c r="AZ19" s="42">
        <f t="shared" si="26"/>
        <v>0.29739249594688488</v>
      </c>
      <c r="BA19" s="42">
        <f t="shared" ref="BA19:BC19" si="70">BA9/BA$13</f>
        <v>0.38117070893677285</v>
      </c>
      <c r="BB19" s="42">
        <f t="shared" si="70"/>
        <v>0.38366720923850733</v>
      </c>
      <c r="BC19" s="42">
        <f t="shared" si="70"/>
        <v>0.35136601682844198</v>
      </c>
      <c r="BD19" s="67">
        <f t="shared" si="28"/>
        <v>0.3562767039067834</v>
      </c>
      <c r="BE19" s="42">
        <f t="shared" si="28"/>
        <v>0.40817083324587367</v>
      </c>
      <c r="BF19" s="42">
        <f t="shared" ref="BF19:BG19" si="71">BF9/BF$13</f>
        <v>0.50124129267704998</v>
      </c>
      <c r="BG19" s="42">
        <f t="shared" si="71"/>
        <v>0.44596360302077098</v>
      </c>
      <c r="BH19" s="42">
        <f t="shared" ref="BH19" si="72">BH9/BH$13</f>
        <v>0.399861516943402</v>
      </c>
      <c r="BI19" s="67">
        <f t="shared" ref="BI19:BL19" si="73">BI9/BI$13</f>
        <v>0.44097370339324105</v>
      </c>
      <c r="BJ19" s="42">
        <f t="shared" si="73"/>
        <v>0.41674910521752662</v>
      </c>
      <c r="BK19" s="42">
        <f t="shared" si="73"/>
        <v>0.49085981340044921</v>
      </c>
      <c r="BL19" s="46">
        <f t="shared" si="73"/>
        <v>0.44578303109898804</v>
      </c>
      <c r="BM19" s="42">
        <f t="shared" si="32"/>
        <v>0.35517844211955124</v>
      </c>
      <c r="BN19" s="67">
        <f t="shared" si="32"/>
        <v>0.43091321579807573</v>
      </c>
      <c r="BO19" s="42">
        <f t="shared" si="32"/>
        <v>0.36301250289639325</v>
      </c>
      <c r="BP19" s="42">
        <f t="shared" si="32"/>
        <v>0.44970846883599208</v>
      </c>
      <c r="BQ19" s="42">
        <f t="shared" ref="BQ19:BU19" si="74">BQ9/BQ$13</f>
        <v>0.36850804221937306</v>
      </c>
      <c r="BR19" s="42">
        <f t="shared" si="74"/>
        <v>0.30213908103330755</v>
      </c>
      <c r="BS19" s="67">
        <f t="shared" si="74"/>
        <v>0.37418006193608455</v>
      </c>
      <c r="BT19" s="42">
        <f t="shared" si="74"/>
        <v>0.27523049887258166</v>
      </c>
      <c r="BU19" s="42">
        <f t="shared" si="74"/>
        <v>0.48991434191038796</v>
      </c>
      <c r="BV19" s="42">
        <f t="shared" ref="BV19:BW19" si="75">BV9/BV$13</f>
        <v>0.46491814810278825</v>
      </c>
      <c r="BW19" s="42">
        <f t="shared" si="75"/>
        <v>0.41711671568190595</v>
      </c>
      <c r="BX19" s="67">
        <f t="shared" ref="BX19" si="76">BX9/BX$13</f>
        <v>0.41831261805377423</v>
      </c>
      <c r="BY19" s="42">
        <f t="shared" si="50"/>
        <v>0.40462693693302659</v>
      </c>
      <c r="BZ19" s="42">
        <f t="shared" si="36"/>
        <v>0.42801446491128942</v>
      </c>
      <c r="CA19" s="42">
        <f t="shared" si="36"/>
        <v>0.3618910721350389</v>
      </c>
      <c r="CB19" s="42">
        <f t="shared" ref="CB19" si="77">CB9/CB$13</f>
        <v>0.30792636919117505</v>
      </c>
      <c r="CC19" s="67">
        <f t="shared" si="38"/>
        <v>0.37535971961721176</v>
      </c>
      <c r="CD19" s="42">
        <f t="shared" si="39"/>
        <v>0.35069017430719041</v>
      </c>
      <c r="CE19" s="42">
        <f t="shared" si="39"/>
        <v>0.36438095288616346</v>
      </c>
      <c r="CF19" s="42">
        <f t="shared" ref="CF19:CG19" si="78">CF9/CF$13</f>
        <v>0.3379655364091162</v>
      </c>
      <c r="CG19" s="42">
        <f t="shared" si="78"/>
        <v>0.28436254830769414</v>
      </c>
      <c r="CH19" s="67">
        <f t="shared" ref="CH19:CI19" si="79">CH9/CH$13</f>
        <v>0.33571893753755561</v>
      </c>
      <c r="CI19" s="42">
        <f t="shared" si="79"/>
        <v>0.29174707783416959</v>
      </c>
      <c r="CJ19" s="42">
        <f t="shared" ref="CJ19:CK19" si="80">CJ9/CJ$13</f>
        <v>0.28992767030129041</v>
      </c>
      <c r="CK19" s="42">
        <f t="shared" si="80"/>
        <v>0.28005215642947434</v>
      </c>
      <c r="CL19" s="42">
        <f t="shared" ref="CL19" si="81">CL9/CL$13</f>
        <v>0.23774059613306434</v>
      </c>
      <c r="CM19" s="67">
        <f t="shared" si="54"/>
        <v>0.27599055178536613</v>
      </c>
      <c r="CN19" s="42">
        <f t="shared" si="55"/>
        <v>0.24891968143994858</v>
      </c>
      <c r="CO19" s="42">
        <f t="shared" si="55"/>
        <v>0.2517999573055949</v>
      </c>
      <c r="CP19" s="42"/>
      <c r="CQ19" s="42"/>
      <c r="CR19" s="67">
        <f t="shared" si="56"/>
        <v>0.25037574511335142</v>
      </c>
    </row>
    <row r="20" spans="1:96" ht="11.15" customHeight="1" x14ac:dyDescent="0.2">
      <c r="A20" s="7" t="s">
        <v>98</v>
      </c>
      <c r="B20" s="11"/>
      <c r="C20" s="11"/>
      <c r="D20" s="11"/>
      <c r="E20" s="11"/>
      <c r="F20" s="67">
        <f>F10/F$13</f>
        <v>0.24845522778844475</v>
      </c>
      <c r="G20" s="11"/>
      <c r="H20" s="11"/>
      <c r="I20" s="11"/>
      <c r="J20" s="11"/>
      <c r="K20" s="67">
        <f>K10/K$13</f>
        <v>0.17434027464926832</v>
      </c>
      <c r="L20" s="11"/>
      <c r="M20" s="11"/>
      <c r="N20" s="11"/>
      <c r="O20" s="11"/>
      <c r="P20" s="67">
        <f t="shared" si="18"/>
        <v>0.18033316453927953</v>
      </c>
      <c r="Q20" s="11"/>
      <c r="R20" s="11"/>
      <c r="S20" s="11"/>
      <c r="T20" s="11"/>
      <c r="U20" s="67">
        <f t="shared" si="19"/>
        <v>0.1126555994276308</v>
      </c>
      <c r="V20" s="11"/>
      <c r="W20" s="11"/>
      <c r="X20" s="11"/>
      <c r="Y20" s="11"/>
      <c r="Z20" s="67">
        <f t="shared" si="20"/>
        <v>0.11989066217552864</v>
      </c>
      <c r="AA20" s="11"/>
      <c r="AB20" s="11"/>
      <c r="AC20" s="11"/>
      <c r="AD20" s="11"/>
      <c r="AE20" s="67">
        <f t="shared" si="21"/>
        <v>0.13332644863240334</v>
      </c>
      <c r="AF20" s="11"/>
      <c r="AG20" s="11"/>
      <c r="AH20" s="11"/>
      <c r="AI20" s="11"/>
      <c r="AJ20" s="67">
        <f t="shared" si="22"/>
        <v>0.12368450992661699</v>
      </c>
      <c r="AK20" s="42">
        <f t="shared" si="22"/>
        <v>0.12440430871612666</v>
      </c>
      <c r="AL20" s="42">
        <f t="shared" si="22"/>
        <v>8.5448739675687252E-2</v>
      </c>
      <c r="AM20" s="42">
        <f t="shared" si="22"/>
        <v>0.11639132859333612</v>
      </c>
      <c r="AN20" s="42">
        <f t="shared" si="22"/>
        <v>9.9578557690568489E-2</v>
      </c>
      <c r="AO20" s="67">
        <f t="shared" si="22"/>
        <v>0.10581234935204017</v>
      </c>
      <c r="AP20" s="42">
        <f t="shared" si="23"/>
        <v>0.14352630807562655</v>
      </c>
      <c r="AQ20" s="42">
        <f t="shared" si="23"/>
        <v>7.6137853530623717E-2</v>
      </c>
      <c r="AR20" s="42">
        <f t="shared" si="23"/>
        <v>8.3505717476997365E-2</v>
      </c>
      <c r="AS20" s="42">
        <f t="shared" si="23"/>
        <v>8.0944253189458151E-2</v>
      </c>
      <c r="AT20" s="67">
        <f t="shared" si="23"/>
        <v>9.4275114570451735E-2</v>
      </c>
      <c r="AU20" s="42">
        <f t="shared" si="24"/>
        <v>0.10458383594692401</v>
      </c>
      <c r="AV20" s="42">
        <f t="shared" ref="AV20:AX20" si="82">AV10/AV$13</f>
        <v>7.9859486769471549E-2</v>
      </c>
      <c r="AW20" s="42">
        <f t="shared" si="82"/>
        <v>5.4134622096484779E-2</v>
      </c>
      <c r="AX20" s="42">
        <f t="shared" si="82"/>
        <v>0.10402636544945579</v>
      </c>
      <c r="AY20" s="67">
        <f t="shared" si="26"/>
        <v>8.4362534881527632E-2</v>
      </c>
      <c r="AZ20" s="42">
        <f t="shared" si="26"/>
        <v>9.5745194163514249E-2</v>
      </c>
      <c r="BA20" s="42">
        <f t="shared" ref="BA20:BC20" si="83">BA10/BA$13</f>
        <v>8.0462998492802237E-2</v>
      </c>
      <c r="BB20" s="42">
        <f t="shared" si="83"/>
        <v>8.781017754504411E-2</v>
      </c>
      <c r="BC20" s="42">
        <f t="shared" si="83"/>
        <v>8.9425641062255243E-2</v>
      </c>
      <c r="BD20" s="67">
        <f t="shared" si="28"/>
        <v>8.8048476753003702E-2</v>
      </c>
      <c r="BE20" s="42">
        <f t="shared" si="28"/>
        <v>4.9523169818713575E-2</v>
      </c>
      <c r="BF20" s="42">
        <f t="shared" ref="BF20:BG20" si="84">BF10/BF$13</f>
        <v>5.3493352248269364E-2</v>
      </c>
      <c r="BG20" s="42">
        <f t="shared" si="84"/>
        <v>5.3614864434624251E-2</v>
      </c>
      <c r="BH20" s="42">
        <f t="shared" ref="BH20" si="85">BH10/BH$13</f>
        <v>7.1033499051391058E-2</v>
      </c>
      <c r="BI20" s="67">
        <f t="shared" ref="BI20:BL20" si="86">BI10/BI$13</f>
        <v>5.7216714730543003E-2</v>
      </c>
      <c r="BJ20" s="42">
        <f t="shared" si="86"/>
        <v>5.4545606117866748E-2</v>
      </c>
      <c r="BK20" s="42">
        <f t="shared" si="86"/>
        <v>4.6971444321140775E-2</v>
      </c>
      <c r="BL20" s="46">
        <f t="shared" si="86"/>
        <v>6.1375741554556523E-2</v>
      </c>
      <c r="BM20" s="42">
        <f t="shared" si="32"/>
        <v>8.0869320195969707E-2</v>
      </c>
      <c r="BN20" s="67">
        <f t="shared" si="32"/>
        <v>6.0018193350933023E-2</v>
      </c>
      <c r="BO20" s="42">
        <f t="shared" si="32"/>
        <v>4.9560859173393174E-2</v>
      </c>
      <c r="BP20" s="42">
        <f t="shared" si="32"/>
        <v>4.7849047060084832E-2</v>
      </c>
      <c r="BQ20" s="42">
        <f t="shared" ref="BQ20:BU20" si="87">BQ10/BQ$13</f>
        <v>6.6412872412179691E-2</v>
      </c>
      <c r="BR20" s="42">
        <f t="shared" si="87"/>
        <v>5.5044076353354399E-2</v>
      </c>
      <c r="BS20" s="67">
        <f t="shared" si="87"/>
        <v>5.4585453463879365E-2</v>
      </c>
      <c r="BT20" s="42">
        <f t="shared" si="87"/>
        <v>5.4906476436555635E-2</v>
      </c>
      <c r="BU20" s="42">
        <f t="shared" si="87"/>
        <v>4.9498837762431219E-2</v>
      </c>
      <c r="BV20" s="42">
        <f t="shared" ref="BV20:BW20" si="88">BV10/BV$13</f>
        <v>4.0459614182847055E-2</v>
      </c>
      <c r="BW20" s="42">
        <f t="shared" si="88"/>
        <v>3.5466238897305651E-2</v>
      </c>
      <c r="BX20" s="67">
        <f t="shared" ref="BX20:BY20" si="89">BX10/BX$13</f>
        <v>4.4289945066476558E-2</v>
      </c>
      <c r="BY20" s="42">
        <f t="shared" si="89"/>
        <v>3.1474166992201631E-2</v>
      </c>
      <c r="BZ20" s="42">
        <f t="shared" si="36"/>
        <v>2.7772844927325659E-2</v>
      </c>
      <c r="CA20" s="42">
        <f t="shared" si="36"/>
        <v>3.7679018857971779E-2</v>
      </c>
      <c r="CB20" s="42">
        <f t="shared" ref="CB20" si="90">CB10/CB$13</f>
        <v>5.1011477033586029E-2</v>
      </c>
      <c r="CC20" s="67">
        <f t="shared" si="38"/>
        <v>3.701723642238134E-2</v>
      </c>
      <c r="CD20" s="42">
        <f t="shared" si="39"/>
        <v>3.4829003808324259E-2</v>
      </c>
      <c r="CE20" s="42">
        <f t="shared" si="39"/>
        <v>3.9098410441803289E-2</v>
      </c>
      <c r="CF20" s="42">
        <f t="shared" ref="CF20:CG20" si="91">CF10/CF$13</f>
        <v>3.214844443935061E-2</v>
      </c>
      <c r="CG20" s="42">
        <f t="shared" si="91"/>
        <v>5.7018819388437336E-2</v>
      </c>
      <c r="CH20" s="67">
        <f t="shared" ref="CH20:CI20" si="92">CH10/CH$13</f>
        <v>4.047785767099648E-2</v>
      </c>
      <c r="CI20" s="42">
        <f t="shared" si="92"/>
        <v>6.2268487847592272E-2</v>
      </c>
      <c r="CJ20" s="42">
        <f t="shared" ref="CJ20:CK20" si="93">CJ10/CJ$13</f>
        <v>4.9265966803050849E-2</v>
      </c>
      <c r="CK20" s="42">
        <f t="shared" si="93"/>
        <v>5.251807392808916E-2</v>
      </c>
      <c r="CL20" s="42">
        <f t="shared" ref="CL20" si="94">CL10/CL$13</f>
        <v>6.0680577999484765E-2</v>
      </c>
      <c r="CM20" s="67">
        <f>CM10/CM$13</f>
        <v>5.6183632777941327E-2</v>
      </c>
      <c r="CN20" s="42">
        <f t="shared" ref="CN20:CO20" si="95">CN10/CN$13</f>
        <v>6.6259538349820846E-2</v>
      </c>
      <c r="CO20" s="42">
        <f t="shared" si="95"/>
        <v>3.9647577092511016E-2</v>
      </c>
      <c r="CP20" s="42"/>
      <c r="CQ20" s="42"/>
      <c r="CR20" s="67">
        <f t="shared" si="56"/>
        <v>5.2806413763062783E-2</v>
      </c>
    </row>
    <row r="21" spans="1:96" ht="11.15" customHeight="1" x14ac:dyDescent="0.2">
      <c r="A21" s="7" t="s">
        <v>235</v>
      </c>
      <c r="B21" s="11"/>
      <c r="C21" s="11"/>
      <c r="D21" s="11"/>
      <c r="E21" s="11"/>
      <c r="F21" s="67">
        <f>F11/F$13</f>
        <v>9.205096875545471E-2</v>
      </c>
      <c r="G21" s="11"/>
      <c r="H21" s="11"/>
      <c r="I21" s="11"/>
      <c r="J21" s="11"/>
      <c r="K21" s="67">
        <f>K11/K$13</f>
        <v>0.15725287130916857</v>
      </c>
      <c r="L21" s="11"/>
      <c r="M21" s="11"/>
      <c r="N21" s="11"/>
      <c r="O21" s="11"/>
      <c r="P21" s="67">
        <f t="shared" si="18"/>
        <v>9.3816026122334945E-2</v>
      </c>
      <c r="Q21" s="11"/>
      <c r="R21" s="11"/>
      <c r="S21" s="11"/>
      <c r="T21" s="11"/>
      <c r="U21" s="67">
        <f t="shared" si="19"/>
        <v>8.1879996126824964E-2</v>
      </c>
      <c r="V21" s="11"/>
      <c r="W21" s="11"/>
      <c r="X21" s="11"/>
      <c r="Y21" s="11"/>
      <c r="Z21" s="67">
        <f t="shared" si="20"/>
        <v>0.10230037158820542</v>
      </c>
      <c r="AA21" s="11"/>
      <c r="AB21" s="11"/>
      <c r="AC21" s="11"/>
      <c r="AD21" s="11"/>
      <c r="AE21" s="67">
        <f t="shared" si="21"/>
        <v>7.7846999464679378E-2</v>
      </c>
      <c r="AF21" s="11"/>
      <c r="AG21" s="11"/>
      <c r="AH21" s="11"/>
      <c r="AI21" s="11"/>
      <c r="AJ21" s="67">
        <f t="shared" si="22"/>
        <v>7.7231711132601397E-2</v>
      </c>
      <c r="AK21" s="42">
        <f t="shared" si="22"/>
        <v>0.12026619293347997</v>
      </c>
      <c r="AL21" s="42">
        <f t="shared" si="22"/>
        <v>0.10855617199160378</v>
      </c>
      <c r="AM21" s="42">
        <f t="shared" si="22"/>
        <v>8.2247083972303542E-2</v>
      </c>
      <c r="AN21" s="42">
        <f t="shared" si="22"/>
        <v>9.3688012106668911E-2</v>
      </c>
      <c r="AO21" s="67">
        <f t="shared" si="22"/>
        <v>0.10032498294842554</v>
      </c>
      <c r="AP21" s="42">
        <f t="shared" si="23"/>
        <v>0.11737945185402315</v>
      </c>
      <c r="AQ21" s="42">
        <f t="shared" si="23"/>
        <v>0.11176146178019188</v>
      </c>
      <c r="AR21" s="42">
        <f t="shared" si="23"/>
        <v>0.12051529919709894</v>
      </c>
      <c r="AS21" s="42">
        <f t="shared" si="23"/>
        <v>9.584767745730513E-2</v>
      </c>
      <c r="AT21" s="67">
        <f t="shared" si="23"/>
        <v>0.11098915087967245</v>
      </c>
      <c r="AU21" s="42">
        <f t="shared" si="24"/>
        <v>0.13647969441093688</v>
      </c>
      <c r="AV21" s="42">
        <f t="shared" ref="AV21:AX21" si="96">AV11/AV$13</f>
        <v>0.11001624577907441</v>
      </c>
      <c r="AW21" s="42">
        <f t="shared" si="96"/>
        <v>9.5536275206228108E-2</v>
      </c>
      <c r="AX21" s="42">
        <f t="shared" si="96"/>
        <v>8.5875524312915313E-2</v>
      </c>
      <c r="AY21" s="67">
        <f t="shared" si="26"/>
        <v>0.10595551807736903</v>
      </c>
      <c r="AZ21" s="42">
        <f t="shared" si="26"/>
        <v>0.12109646413958157</v>
      </c>
      <c r="BA21" s="42">
        <f t="shared" ref="BA21:BC21" si="97">BA11/BA$13</f>
        <v>0.1043012496686934</v>
      </c>
      <c r="BB21" s="42">
        <f t="shared" si="97"/>
        <v>9.2584308521635836E-2</v>
      </c>
      <c r="BC21" s="42">
        <f t="shared" si="97"/>
        <v>8.5534465463139142E-2</v>
      </c>
      <c r="BD21" s="67">
        <f t="shared" si="28"/>
        <v>9.9438168187776857E-2</v>
      </c>
      <c r="BE21" s="42">
        <f t="shared" si="28"/>
        <v>0.1027441349537863</v>
      </c>
      <c r="BF21" s="42">
        <f t="shared" ref="BF21:BG21" si="98">BF11/BF$13</f>
        <v>8.6682026027890505E-2</v>
      </c>
      <c r="BG21" s="42">
        <f t="shared" si="98"/>
        <v>9.1629204182214125E-2</v>
      </c>
      <c r="BH21" s="42">
        <f t="shared" ref="BH21" si="99">BH11/BH$13</f>
        <v>9.458115799531927E-2</v>
      </c>
      <c r="BI21" s="67">
        <f t="shared" ref="BI21:BL21" si="100">BI11/BI$13</f>
        <v>9.334376235459288E-2</v>
      </c>
      <c r="BJ21" s="42">
        <f t="shared" si="100"/>
        <v>9.5055354244936982E-2</v>
      </c>
      <c r="BK21" s="42">
        <f t="shared" si="100"/>
        <v>8.0546307780461443E-2</v>
      </c>
      <c r="BL21" s="46">
        <f t="shared" si="100"/>
        <v>8.9668468286440706E-2</v>
      </c>
      <c r="BM21" s="42">
        <f t="shared" si="32"/>
        <v>8.4159720770426383E-2</v>
      </c>
      <c r="BN21" s="67">
        <f t="shared" si="32"/>
        <v>8.7166426691618587E-2</v>
      </c>
      <c r="BO21" s="42">
        <f t="shared" si="32"/>
        <v>0.10074052442968827</v>
      </c>
      <c r="BP21" s="42">
        <f t="shared" si="32"/>
        <v>7.9525742985246131E-2</v>
      </c>
      <c r="BQ21" s="42">
        <f t="shared" ref="BQ21:BU21" si="101">BQ11/BQ$13</f>
        <v>8.7735235676220921E-2</v>
      </c>
      <c r="BR21" s="42">
        <f t="shared" si="101"/>
        <v>0.10449829923653169</v>
      </c>
      <c r="BS21" s="67">
        <f t="shared" si="101"/>
        <v>9.249030679737498E-2</v>
      </c>
      <c r="BT21" s="42">
        <f t="shared" si="101"/>
        <v>9.1569639145890336E-2</v>
      </c>
      <c r="BU21" s="42">
        <f t="shared" si="101"/>
        <v>5.692771185954637E-2</v>
      </c>
      <c r="BV21" s="42">
        <f t="shared" ref="BV21:BW21" si="102">BV11/BV$13</f>
        <v>9.8062121397684346E-2</v>
      </c>
      <c r="BW21" s="42">
        <f t="shared" si="102"/>
        <v>9.7617562308766295E-2</v>
      </c>
      <c r="BX21" s="67">
        <f t="shared" ref="BX21:BY21" si="103">BX11/BX$13</f>
        <v>8.6435350671761377E-2</v>
      </c>
      <c r="BY21" s="42">
        <f t="shared" si="103"/>
        <v>9.580855650563537E-2</v>
      </c>
      <c r="BZ21" s="42">
        <f t="shared" ref="BZ21:CA21" si="104">BZ11/BZ$13</f>
        <v>0.10131357323130405</v>
      </c>
      <c r="CA21" s="42">
        <f t="shared" si="104"/>
        <v>9.4537781880522226E-2</v>
      </c>
      <c r="CB21" s="42">
        <f t="shared" ref="CB21" si="105">CB11/CB$13</f>
        <v>8.9281059739290528E-2</v>
      </c>
      <c r="CC21" s="67">
        <f t="shared" si="38"/>
        <v>9.5250742713196335E-2</v>
      </c>
      <c r="CD21" s="42">
        <f t="shared" si="39"/>
        <v>0.10453295997880961</v>
      </c>
      <c r="CE21" s="42">
        <f t="shared" si="39"/>
        <v>8.93712054702233E-2</v>
      </c>
      <c r="CF21" s="42">
        <f t="shared" ref="CF21:CG21" si="106">CF11/CF$13</f>
        <v>0.11211841630229853</v>
      </c>
      <c r="CG21" s="42">
        <f t="shared" si="106"/>
        <v>0.12254339072792088</v>
      </c>
      <c r="CH21" s="67">
        <f t="shared" ref="CH21:CI21" si="107">CH11/CH$13</f>
        <v>0.10658831084252564</v>
      </c>
      <c r="CI21" s="42">
        <f t="shared" si="107"/>
        <v>0.12574098290770622</v>
      </c>
      <c r="CJ21" s="42">
        <f>CJ11/CJ$13</f>
        <v>0.11195660806362896</v>
      </c>
      <c r="CK21" s="42">
        <f>CK11/CK$13</f>
        <v>9.8675850445088101E-2</v>
      </c>
      <c r="CL21" s="42">
        <f>CL11/CL$13</f>
        <v>0.10345173690919493</v>
      </c>
      <c r="CM21" s="67">
        <f t="shared" si="54"/>
        <v>0.11059009397726804</v>
      </c>
      <c r="CN21" s="42">
        <f>CN11/CN$13</f>
        <v>9.9115507779484066E-2</v>
      </c>
      <c r="CO21" s="42">
        <f>CO11/CO$13</f>
        <v>0.10729103999689495</v>
      </c>
      <c r="CP21" s="42"/>
      <c r="CQ21" s="42"/>
      <c r="CR21" s="67">
        <f t="shared" si="56"/>
        <v>0.10324847837944959</v>
      </c>
    </row>
    <row r="22" spans="1:96" ht="11.15" customHeight="1" x14ac:dyDescent="0.2">
      <c r="A22" s="7" t="s">
        <v>99</v>
      </c>
      <c r="B22" s="9"/>
      <c r="C22" s="9"/>
      <c r="D22" s="9"/>
      <c r="E22" s="9"/>
      <c r="F22" s="67">
        <f>F12/F$13</f>
        <v>3.1139814976435679E-3</v>
      </c>
      <c r="G22" s="9"/>
      <c r="H22" s="9"/>
      <c r="I22" s="9"/>
      <c r="J22" s="9"/>
      <c r="K22" s="67">
        <f>K12/K$13</f>
        <v>2.4380290125452492E-4</v>
      </c>
      <c r="L22" s="9"/>
      <c r="M22" s="9"/>
      <c r="N22" s="9"/>
      <c r="O22" s="9"/>
      <c r="P22" s="67">
        <f t="shared" si="18"/>
        <v>2.356859732141298E-2</v>
      </c>
      <c r="Q22" s="9"/>
      <c r="R22" s="9"/>
      <c r="S22" s="9"/>
      <c r="T22" s="9"/>
      <c r="U22" s="67">
        <f t="shared" si="19"/>
        <v>1.9973748480316741E-2</v>
      </c>
      <c r="V22" s="9"/>
      <c r="W22" s="9"/>
      <c r="X22" s="9"/>
      <c r="Y22" s="9"/>
      <c r="Z22" s="67">
        <f t="shared" si="20"/>
        <v>2.8069612639345575E-3</v>
      </c>
      <c r="AA22" s="9"/>
      <c r="AB22" s="9"/>
      <c r="AC22" s="9"/>
      <c r="AD22" s="9"/>
      <c r="AE22" s="67">
        <f t="shared" si="21"/>
        <v>8.343836014854094E-3</v>
      </c>
      <c r="AF22" s="9"/>
      <c r="AG22" s="9"/>
      <c r="AH22" s="9"/>
      <c r="AI22" s="9"/>
      <c r="AJ22" s="67">
        <f t="shared" si="22"/>
        <v>3.0238494794925762E-3</v>
      </c>
      <c r="AK22" s="49">
        <f t="shared" si="22"/>
        <v>3.9759749598172744E-3</v>
      </c>
      <c r="AL22" s="49">
        <f t="shared" si="22"/>
        <v>7.878885182344161E-3</v>
      </c>
      <c r="AM22" s="49">
        <f t="shared" si="22"/>
        <v>6.4535991449416793E-3</v>
      </c>
      <c r="AN22" s="49">
        <f t="shared" si="22"/>
        <v>1.9112619755334351E-3</v>
      </c>
      <c r="AO22" s="67">
        <f t="shared" si="22"/>
        <v>5.1185585941478382E-3</v>
      </c>
      <c r="AP22" s="49">
        <f t="shared" si="23"/>
        <v>4.0451414333870731E-3</v>
      </c>
      <c r="AQ22" s="49">
        <f t="shared" si="23"/>
        <v>9.1413290045992794E-3</v>
      </c>
      <c r="AR22" s="49">
        <f t="shared" si="23"/>
        <v>5.1339587580327669E-3</v>
      </c>
      <c r="AS22" s="49">
        <f t="shared" si="23"/>
        <v>5.5013934291858321E-3</v>
      </c>
      <c r="AT22" s="67">
        <f t="shared" si="23"/>
        <v>5.9922164835964215E-3</v>
      </c>
      <c r="AU22" s="49">
        <f t="shared" si="24"/>
        <v>3.6992360273421791E-3</v>
      </c>
      <c r="AV22" s="49">
        <f t="shared" ref="AV22:AX22" si="108">AV12/AV$13</f>
        <v>1.5990609769582118E-3</v>
      </c>
      <c r="AW22" s="49">
        <f t="shared" si="108"/>
        <v>3.6626276479114401E-3</v>
      </c>
      <c r="AX22" s="49">
        <f t="shared" si="108"/>
        <v>5.9921476035881341E-3</v>
      </c>
      <c r="AY22" s="67">
        <f t="shared" si="26"/>
        <v>3.7103404659007064E-3</v>
      </c>
      <c r="AZ22" s="49">
        <f t="shared" si="26"/>
        <v>3.145989346097429E-3</v>
      </c>
      <c r="BA22" s="49">
        <f t="shared" ref="BA22:BC22" si="109">BA12/BA$13</f>
        <v>1.6219188486749714E-3</v>
      </c>
      <c r="BB22" s="49">
        <f t="shared" si="109"/>
        <v>1.6690662626824601E-3</v>
      </c>
      <c r="BC22" s="49">
        <f t="shared" si="109"/>
        <v>2.2633076420546837E-3</v>
      </c>
      <c r="BD22" s="67">
        <f t="shared" si="28"/>
        <v>2.1268708263887026E-3</v>
      </c>
      <c r="BE22" s="49">
        <f t="shared" si="28"/>
        <v>6.2831034892914363E-3</v>
      </c>
      <c r="BF22" s="49">
        <f t="shared" ref="BF22:BG22" si="110">BF12/BF$13</f>
        <v>3.8226941330308387E-3</v>
      </c>
      <c r="BG22" s="49">
        <f t="shared" si="110"/>
        <v>2.070730868662685E-3</v>
      </c>
      <c r="BH22" s="49">
        <f t="shared" ref="BH22" si="111">BH12/BH$13</f>
        <v>3.9467671130437188E-3</v>
      </c>
      <c r="BI22" s="67">
        <f t="shared" ref="BI22:BL22" si="112">BI12/BI$13</f>
        <v>3.8654571084024364E-3</v>
      </c>
      <c r="BJ22" s="49">
        <f t="shared" si="112"/>
        <v>1.8451414978992065E-3</v>
      </c>
      <c r="BK22" s="49">
        <f t="shared" si="112"/>
        <v>4.2116664611605535E-3</v>
      </c>
      <c r="BL22" s="46">
        <f t="shared" si="112"/>
        <v>5.054076655834498E-3</v>
      </c>
      <c r="BM22" s="49">
        <f t="shared" si="32"/>
        <v>2.4208379917043123E-3</v>
      </c>
      <c r="BN22" s="67">
        <f t="shared" si="32"/>
        <v>3.4290630561267616E-3</v>
      </c>
      <c r="BO22" s="49">
        <f t="shared" si="32"/>
        <v>2.2314130907451902E-3</v>
      </c>
      <c r="BP22" s="49">
        <f t="shared" si="32"/>
        <v>1.3494827761573966E-2</v>
      </c>
      <c r="BQ22" s="49">
        <f t="shared" ref="BQ22:BU22" si="113">BQ12/BQ$13</f>
        <v>2.0392662044491975E-2</v>
      </c>
      <c r="BR22" s="49">
        <f t="shared" si="113"/>
        <v>1.5986850473050318E-2</v>
      </c>
      <c r="BS22" s="67">
        <f t="shared" si="113"/>
        <v>1.3103795049525286E-2</v>
      </c>
      <c r="BT22" s="49">
        <f t="shared" si="113"/>
        <v>8.6381909950971354E-3</v>
      </c>
      <c r="BU22" s="49">
        <f t="shared" si="113"/>
        <v>5.2865784333239992E-3</v>
      </c>
      <c r="BV22" s="49">
        <f t="shared" ref="BV22:BW22" si="114">BV12/BV$13</f>
        <v>7.7848015801985299E-3</v>
      </c>
      <c r="BW22" s="49">
        <f t="shared" si="114"/>
        <v>1.1606214538217034E-2</v>
      </c>
      <c r="BX22" s="67">
        <f t="shared" ref="BX22:BY22" si="115">BX12/BX$13</f>
        <v>8.4165886581762332E-3</v>
      </c>
      <c r="BY22" s="49">
        <f t="shared" si="115"/>
        <v>1.0208776422587785E-2</v>
      </c>
      <c r="BZ22" s="49">
        <f>BZ12/BZ$13</f>
        <v>6.4198806429566968E-3</v>
      </c>
      <c r="CA22" s="49">
        <f>CA12/CA$13</f>
        <v>9.481735460899381E-3</v>
      </c>
      <c r="CB22" s="49">
        <f>CB12/CB$13</f>
        <v>1.0755431904671754E-2</v>
      </c>
      <c r="CC22" s="67">
        <f t="shared" si="38"/>
        <v>9.1925304272825591E-3</v>
      </c>
      <c r="CD22" s="49">
        <f t="shared" si="39"/>
        <v>1.0887104403222886E-2</v>
      </c>
      <c r="CE22" s="49">
        <f t="shared" si="39"/>
        <v>1.288250318946059E-2</v>
      </c>
      <c r="CF22" s="49">
        <f t="shared" ref="CF22:CG22" si="116">CF12/CF$13</f>
        <v>1.6134393104989601E-2</v>
      </c>
      <c r="CG22" s="49">
        <f t="shared" si="116"/>
        <v>1.85345641739047E-2</v>
      </c>
      <c r="CH22" s="67">
        <f t="shared" ref="CH22:CI22" si="117">CH12/CH$13</f>
        <v>1.4478712487242463E-2</v>
      </c>
      <c r="CI22" s="49">
        <f t="shared" si="117"/>
        <v>1.2333872928272278E-2</v>
      </c>
      <c r="CJ22" s="49">
        <f t="shared" ref="CJ22:CK22" si="118">CJ12/CJ$13</f>
        <v>1.9254583479179105E-2</v>
      </c>
      <c r="CK22" s="49">
        <f t="shared" si="118"/>
        <v>1.5610432613030481E-2</v>
      </c>
      <c r="CL22" s="49">
        <f t="shared" ref="CL22" si="119">CL12/CL$13</f>
        <v>2.8525258202768213E-2</v>
      </c>
      <c r="CM22" s="67">
        <f>CM12/CM$13</f>
        <v>1.8687487329496776E-2</v>
      </c>
      <c r="CN22" s="49">
        <f t="shared" ref="CN22:CO22" si="120">CN12/CN$13</f>
        <v>1.6360526806582305E-2</v>
      </c>
      <c r="CO22" s="49">
        <f t="shared" si="120"/>
        <v>1.3491432009159891E-2</v>
      </c>
      <c r="CP22" s="49"/>
      <c r="CQ22" s="49"/>
      <c r="CR22" s="67">
        <f t="shared" si="56"/>
        <v>1.4910115490116824E-2</v>
      </c>
    </row>
    <row r="23" spans="1:96" s="2" customFormat="1" ht="11.15" customHeight="1" x14ac:dyDescent="0.25">
      <c r="A23" s="6" t="s">
        <v>14</v>
      </c>
      <c r="B23" s="31"/>
      <c r="C23" s="31"/>
      <c r="D23" s="31"/>
      <c r="E23" s="31"/>
      <c r="F23" s="77">
        <f>F13/F$13</f>
        <v>1</v>
      </c>
      <c r="G23" s="31"/>
      <c r="H23" s="31"/>
      <c r="I23" s="31"/>
      <c r="J23" s="31"/>
      <c r="K23" s="77">
        <f>K13/K$13</f>
        <v>1</v>
      </c>
      <c r="L23" s="31"/>
      <c r="M23" s="31"/>
      <c r="N23" s="31"/>
      <c r="O23" s="31"/>
      <c r="P23" s="77">
        <f t="shared" si="18"/>
        <v>1</v>
      </c>
      <c r="Q23" s="31"/>
      <c r="R23" s="31"/>
      <c r="S23" s="31"/>
      <c r="T23" s="31"/>
      <c r="U23" s="77">
        <f t="shared" si="19"/>
        <v>1</v>
      </c>
      <c r="V23" s="31"/>
      <c r="W23" s="31"/>
      <c r="X23" s="31"/>
      <c r="Y23" s="31"/>
      <c r="Z23" s="77">
        <f t="shared" si="20"/>
        <v>1</v>
      </c>
      <c r="AA23" s="31"/>
      <c r="AB23" s="31"/>
      <c r="AC23" s="31"/>
      <c r="AD23" s="31"/>
      <c r="AE23" s="77">
        <f t="shared" si="21"/>
        <v>1</v>
      </c>
      <c r="AF23" s="31"/>
      <c r="AG23" s="31"/>
      <c r="AH23" s="31"/>
      <c r="AI23" s="31"/>
      <c r="AJ23" s="77">
        <f t="shared" si="22"/>
        <v>1</v>
      </c>
      <c r="AK23" s="47">
        <f t="shared" si="22"/>
        <v>1</v>
      </c>
      <c r="AL23" s="47">
        <f t="shared" si="22"/>
        <v>1</v>
      </c>
      <c r="AM23" s="47">
        <f t="shared" si="22"/>
        <v>1</v>
      </c>
      <c r="AN23" s="47">
        <f t="shared" si="22"/>
        <v>1</v>
      </c>
      <c r="AO23" s="77">
        <f t="shared" si="22"/>
        <v>1</v>
      </c>
      <c r="AP23" s="47">
        <f t="shared" si="23"/>
        <v>1</v>
      </c>
      <c r="AQ23" s="47">
        <f t="shared" si="23"/>
        <v>1</v>
      </c>
      <c r="AR23" s="47">
        <f t="shared" si="23"/>
        <v>1</v>
      </c>
      <c r="AS23" s="47">
        <f t="shared" si="23"/>
        <v>1</v>
      </c>
      <c r="AT23" s="77">
        <f t="shared" si="23"/>
        <v>1</v>
      </c>
      <c r="AU23" s="47">
        <f t="shared" si="24"/>
        <v>1</v>
      </c>
      <c r="AV23" s="47">
        <f t="shared" ref="AV23:AX23" si="121">AV13/AV$13</f>
        <v>1</v>
      </c>
      <c r="AW23" s="47">
        <f t="shared" si="121"/>
        <v>1</v>
      </c>
      <c r="AX23" s="47">
        <f t="shared" si="121"/>
        <v>1</v>
      </c>
      <c r="AY23" s="77">
        <f t="shared" si="26"/>
        <v>1</v>
      </c>
      <c r="AZ23" s="47">
        <f t="shared" si="26"/>
        <v>1</v>
      </c>
      <c r="BA23" s="47">
        <f t="shared" ref="BA23:BC23" si="122">BA13/BA$13</f>
        <v>1</v>
      </c>
      <c r="BB23" s="47">
        <f t="shared" si="122"/>
        <v>1</v>
      </c>
      <c r="BC23" s="47">
        <f t="shared" si="122"/>
        <v>1</v>
      </c>
      <c r="BD23" s="77">
        <f t="shared" si="28"/>
        <v>1</v>
      </c>
      <c r="BE23" s="47">
        <f>BE13/BE$13</f>
        <v>1</v>
      </c>
      <c r="BF23" s="47">
        <f>BF13/BF$13</f>
        <v>1</v>
      </c>
      <c r="BG23" s="47">
        <f>BG13/BG$13</f>
        <v>1</v>
      </c>
      <c r="BH23" s="47">
        <f>BH13/BH$13</f>
        <v>1</v>
      </c>
      <c r="BI23" s="77">
        <f t="shared" ref="BI23" si="123">BI13/BI$13</f>
        <v>1</v>
      </c>
      <c r="BJ23" s="47">
        <f>BJ13/BJ$13</f>
        <v>1</v>
      </c>
      <c r="BK23" s="47">
        <f>BK13/BK$13</f>
        <v>1</v>
      </c>
      <c r="BL23" s="47">
        <f>BL13/BL$13</f>
        <v>1</v>
      </c>
      <c r="BM23" s="47">
        <f>BM13/BM$13</f>
        <v>1</v>
      </c>
      <c r="BN23" s="77">
        <f t="shared" si="32"/>
        <v>1</v>
      </c>
      <c r="BO23" s="47">
        <f>BO13/BO$13</f>
        <v>1</v>
      </c>
      <c r="BP23" s="47">
        <f>BP13/BP$13</f>
        <v>1</v>
      </c>
      <c r="BQ23" s="47">
        <f>BQ13/BQ$13</f>
        <v>1</v>
      </c>
      <c r="BR23" s="47">
        <f>BR13/BR$13</f>
        <v>1</v>
      </c>
      <c r="BS23" s="77">
        <f t="shared" ref="BS23" si="124">BS13/BS$13</f>
        <v>1</v>
      </c>
      <c r="BT23" s="47">
        <f t="shared" ref="BT23:BY23" si="125">BT13/BT$13</f>
        <v>1</v>
      </c>
      <c r="BU23" s="47">
        <f t="shared" si="125"/>
        <v>1</v>
      </c>
      <c r="BV23" s="47">
        <f t="shared" si="125"/>
        <v>1</v>
      </c>
      <c r="BW23" s="47">
        <f t="shared" si="125"/>
        <v>1</v>
      </c>
      <c r="BX23" s="77">
        <f t="shared" si="125"/>
        <v>1</v>
      </c>
      <c r="BY23" s="47">
        <f t="shared" si="125"/>
        <v>1</v>
      </c>
      <c r="BZ23" s="47">
        <f t="shared" ref="BZ23:CB23" si="126">BZ13/BZ$13</f>
        <v>1</v>
      </c>
      <c r="CA23" s="47">
        <f t="shared" si="126"/>
        <v>1</v>
      </c>
      <c r="CB23" s="47">
        <f t="shared" si="126"/>
        <v>1</v>
      </c>
      <c r="CC23" s="77">
        <f t="shared" si="38"/>
        <v>1</v>
      </c>
      <c r="CD23" s="47">
        <f t="shared" si="39"/>
        <v>1</v>
      </c>
      <c r="CE23" s="47">
        <f t="shared" si="39"/>
        <v>1</v>
      </c>
      <c r="CF23" s="47">
        <f t="shared" ref="CF23:CG23" si="127">CF13/CF$13</f>
        <v>1</v>
      </c>
      <c r="CG23" s="47">
        <f t="shared" si="127"/>
        <v>1</v>
      </c>
      <c r="CH23" s="77">
        <f t="shared" ref="CH23:CI23" si="128">CH13/CH$13</f>
        <v>1</v>
      </c>
      <c r="CI23" s="47">
        <f t="shared" si="128"/>
        <v>1</v>
      </c>
      <c r="CJ23" s="47">
        <f t="shared" ref="CJ23:CK23" si="129">CJ13/CJ$13</f>
        <v>1</v>
      </c>
      <c r="CK23" s="47">
        <f t="shared" si="129"/>
        <v>1</v>
      </c>
      <c r="CL23" s="47">
        <f t="shared" ref="CL23" si="130">CL13/CL$13</f>
        <v>1</v>
      </c>
      <c r="CM23" s="77">
        <f t="shared" si="54"/>
        <v>1</v>
      </c>
      <c r="CN23" s="47">
        <f t="shared" si="54"/>
        <v>1</v>
      </c>
      <c r="CO23" s="47">
        <f t="shared" si="54"/>
        <v>1</v>
      </c>
      <c r="CP23" s="47"/>
      <c r="CQ23" s="47"/>
      <c r="CR23" s="77">
        <f t="shared" si="56"/>
        <v>1</v>
      </c>
    </row>
    <row r="24" spans="1:96" s="2" customFormat="1" ht="11.15" customHeight="1" x14ac:dyDescent="0.25">
      <c r="A24" s="21"/>
      <c r="B24" s="11"/>
      <c r="C24" s="11"/>
      <c r="D24" s="11"/>
      <c r="E24" s="11"/>
      <c r="F24" s="61"/>
      <c r="G24" s="11"/>
      <c r="H24" s="11"/>
      <c r="I24" s="11"/>
      <c r="J24" s="11"/>
      <c r="K24" s="61"/>
      <c r="L24" s="11"/>
      <c r="M24" s="11"/>
      <c r="N24" s="11"/>
      <c r="O24" s="11"/>
      <c r="P24" s="61"/>
      <c r="Q24" s="11"/>
      <c r="R24" s="11"/>
      <c r="S24" s="11"/>
      <c r="T24" s="11"/>
      <c r="U24" s="61"/>
      <c r="V24" s="11"/>
      <c r="W24" s="11"/>
      <c r="X24" s="11"/>
      <c r="Y24" s="11"/>
      <c r="Z24" s="61"/>
      <c r="AA24" s="11"/>
      <c r="AB24" s="11"/>
      <c r="AC24" s="11"/>
      <c r="AD24" s="11"/>
      <c r="AE24" s="61"/>
      <c r="AF24" s="11"/>
      <c r="AG24" s="11"/>
      <c r="AH24" s="11"/>
      <c r="AI24" s="11"/>
      <c r="AJ24" s="61"/>
      <c r="AK24" s="11"/>
      <c r="AL24" s="11"/>
      <c r="AM24" s="11"/>
      <c r="AN24" s="11"/>
      <c r="AO24" s="61"/>
      <c r="AP24" s="11"/>
      <c r="AQ24" s="11"/>
      <c r="AR24" s="11"/>
      <c r="AS24" s="11"/>
      <c r="AT24" s="61"/>
      <c r="AU24" s="11"/>
      <c r="AV24" s="11"/>
      <c r="AW24" s="11"/>
      <c r="AX24" s="11"/>
      <c r="AY24" s="61"/>
      <c r="AZ24" s="11"/>
      <c r="BA24" s="11"/>
      <c r="BB24" s="11"/>
      <c r="BC24" s="11"/>
      <c r="BD24" s="61"/>
      <c r="BE24" s="11"/>
      <c r="BF24" s="11"/>
      <c r="BG24" s="11"/>
      <c r="BH24" s="11"/>
      <c r="BI24" s="61"/>
      <c r="BJ24" s="11"/>
      <c r="BK24" s="11"/>
      <c r="BL24" s="11"/>
      <c r="BM24" s="11"/>
      <c r="BN24" s="61"/>
      <c r="BO24" s="11"/>
      <c r="BP24" s="11"/>
      <c r="BQ24" s="11"/>
      <c r="BR24" s="11"/>
      <c r="BS24" s="61"/>
      <c r="BT24" s="11"/>
      <c r="BU24" s="11"/>
      <c r="BV24" s="11"/>
      <c r="BW24" s="11"/>
      <c r="BX24" s="61"/>
      <c r="BY24" s="11"/>
      <c r="BZ24" s="11"/>
      <c r="CA24" s="11"/>
      <c r="CB24" s="11"/>
      <c r="CC24" s="61"/>
      <c r="CD24" s="11"/>
      <c r="CE24" s="11"/>
      <c r="CF24" s="11"/>
      <c r="CG24" s="11"/>
      <c r="CH24" s="61"/>
      <c r="CI24" s="11"/>
      <c r="CJ24" s="11"/>
      <c r="CK24" s="11"/>
      <c r="CL24" s="11"/>
      <c r="CM24" s="61"/>
      <c r="CN24" s="11"/>
      <c r="CO24" s="11"/>
      <c r="CP24" s="11"/>
      <c r="CQ24" s="11"/>
      <c r="CR24" s="61"/>
    </row>
    <row r="25" spans="1:96" s="30" customFormat="1" ht="11.15" customHeight="1" x14ac:dyDescent="0.25">
      <c r="A25" s="35" t="s">
        <v>111</v>
      </c>
      <c r="B25" s="28"/>
      <c r="C25" s="28"/>
      <c r="D25" s="29"/>
      <c r="E25" s="29"/>
      <c r="F25" s="75"/>
      <c r="G25" s="28"/>
      <c r="H25" s="28"/>
      <c r="I25" s="29"/>
      <c r="J25" s="29"/>
      <c r="K25" s="75"/>
      <c r="L25" s="28"/>
      <c r="M25" s="28"/>
      <c r="N25" s="29"/>
      <c r="O25" s="29"/>
      <c r="P25" s="75"/>
      <c r="Q25" s="28"/>
      <c r="R25" s="28"/>
      <c r="S25" s="29"/>
      <c r="T25" s="29"/>
      <c r="U25" s="75"/>
      <c r="V25" s="28"/>
      <c r="W25" s="28"/>
      <c r="X25" s="29"/>
      <c r="Y25" s="29"/>
      <c r="Z25" s="75"/>
      <c r="AA25" s="28"/>
      <c r="AB25" s="28"/>
      <c r="AC25" s="29"/>
      <c r="AD25" s="29"/>
      <c r="AE25" s="75"/>
      <c r="AF25" s="28"/>
      <c r="AG25" s="28"/>
      <c r="AH25" s="29"/>
      <c r="AI25" s="29"/>
      <c r="AJ25" s="75"/>
      <c r="AK25" s="28"/>
      <c r="AL25" s="28"/>
      <c r="AM25" s="29"/>
      <c r="AN25" s="29"/>
      <c r="AO25" s="75"/>
      <c r="AP25" s="28"/>
      <c r="AQ25" s="28"/>
      <c r="AR25" s="29"/>
      <c r="AS25" s="29"/>
      <c r="AT25" s="75"/>
      <c r="AU25" s="28"/>
      <c r="AV25" s="28"/>
      <c r="AW25" s="29"/>
      <c r="AX25" s="29"/>
      <c r="AY25" s="75"/>
      <c r="AZ25" s="28"/>
      <c r="BA25" s="28"/>
      <c r="BB25" s="29"/>
      <c r="BC25" s="29"/>
      <c r="BD25" s="75"/>
      <c r="BE25" s="28"/>
      <c r="BF25" s="28"/>
      <c r="BG25" s="29"/>
      <c r="BH25" s="29"/>
      <c r="BI25" s="75"/>
      <c r="BJ25" s="28"/>
      <c r="BK25" s="28"/>
      <c r="BL25" s="29"/>
      <c r="BM25" s="29"/>
      <c r="BN25" s="75"/>
      <c r="BO25" s="28"/>
      <c r="BP25" s="28"/>
      <c r="BQ25" s="28"/>
      <c r="BR25" s="29"/>
      <c r="BS25" s="75"/>
      <c r="BT25" s="28"/>
      <c r="BU25" s="28"/>
      <c r="BV25" s="28"/>
      <c r="BW25" s="29"/>
      <c r="BX25" s="75"/>
      <c r="BY25" s="28"/>
      <c r="BZ25" s="28"/>
      <c r="CA25" s="28"/>
      <c r="CB25" s="29"/>
      <c r="CC25" s="75"/>
      <c r="CD25" s="28"/>
      <c r="CE25" s="28"/>
      <c r="CF25" s="28"/>
      <c r="CG25" s="28"/>
      <c r="CH25" s="75"/>
      <c r="CI25" s="28"/>
      <c r="CJ25" s="28"/>
      <c r="CK25" s="28"/>
      <c r="CL25" s="28"/>
      <c r="CM25" s="75"/>
      <c r="CN25" s="28"/>
      <c r="CO25" s="28"/>
      <c r="CP25" s="28"/>
      <c r="CQ25" s="28"/>
      <c r="CR25" s="75"/>
    </row>
    <row r="26" spans="1:96" s="30" customFormat="1" ht="11.15" customHeight="1" x14ac:dyDescent="0.2">
      <c r="A26" s="7" t="s">
        <v>104</v>
      </c>
      <c r="B26" s="8"/>
      <c r="C26" s="8"/>
      <c r="D26" s="8"/>
      <c r="E26" s="8"/>
      <c r="F26" s="70">
        <v>97600</v>
      </c>
      <c r="G26" s="8"/>
      <c r="H26" s="8"/>
      <c r="I26" s="8"/>
      <c r="J26" s="8"/>
      <c r="K26" s="70">
        <v>140044</v>
      </c>
      <c r="L26" s="8"/>
      <c r="M26" s="8"/>
      <c r="N26" s="8"/>
      <c r="O26" s="8"/>
      <c r="P26" s="70">
        <v>187720</v>
      </c>
      <c r="Q26" s="8"/>
      <c r="R26" s="8"/>
      <c r="S26" s="8"/>
      <c r="T26" s="8"/>
      <c r="U26" s="70">
        <v>140864</v>
      </c>
      <c r="V26" s="40">
        <v>42740</v>
      </c>
      <c r="W26" s="40">
        <v>57265</v>
      </c>
      <c r="X26" s="40">
        <v>67540</v>
      </c>
      <c r="Y26" s="8">
        <f>Z26-SUM(V26:X26)</f>
        <v>84469</v>
      </c>
      <c r="Z26" s="70">
        <v>252014</v>
      </c>
      <c r="AA26" s="40">
        <v>86397</v>
      </c>
      <c r="AB26" s="40">
        <v>107900</v>
      </c>
      <c r="AC26" s="40">
        <v>114292</v>
      </c>
      <c r="AD26" s="8">
        <f>AE26-SUM(AA26:AC26)</f>
        <v>110854</v>
      </c>
      <c r="AE26" s="70">
        <v>419443</v>
      </c>
      <c r="AF26" s="40">
        <v>103188</v>
      </c>
      <c r="AG26" s="40">
        <v>124611</v>
      </c>
      <c r="AH26" s="40">
        <v>137725</v>
      </c>
      <c r="AI26" s="8">
        <f>AJ26-SUM(AF26:AH26)</f>
        <v>126489</v>
      </c>
      <c r="AJ26" s="70">
        <v>492013</v>
      </c>
      <c r="AK26" s="40">
        <v>133045</v>
      </c>
      <c r="AL26" s="40">
        <v>157618</v>
      </c>
      <c r="AM26" s="40">
        <v>164101</v>
      </c>
      <c r="AN26" s="8">
        <f>AO26-SUM(AK26:AM26)</f>
        <v>153938</v>
      </c>
      <c r="AO26" s="70">
        <v>608702</v>
      </c>
      <c r="AP26" s="40">
        <v>162724</v>
      </c>
      <c r="AQ26" s="40">
        <v>185271</v>
      </c>
      <c r="AR26" s="40">
        <v>192288</v>
      </c>
      <c r="AS26" s="8">
        <f>AT26-SUM(AP26:AR26)</f>
        <v>190991</v>
      </c>
      <c r="AT26" s="70">
        <v>731274</v>
      </c>
      <c r="AU26" s="40">
        <v>192003</v>
      </c>
      <c r="AV26" s="40">
        <v>224486</v>
      </c>
      <c r="AW26" s="40">
        <v>223813</v>
      </c>
      <c r="AX26" s="8">
        <f>AY26-SUM(AU26:AW26)</f>
        <v>209033</v>
      </c>
      <c r="AY26" s="70">
        <v>849335</v>
      </c>
      <c r="AZ26" s="40">
        <v>198207</v>
      </c>
      <c r="BA26" s="40">
        <v>239056</v>
      </c>
      <c r="BB26" s="40">
        <v>246299</v>
      </c>
      <c r="BC26" s="8">
        <f>BD26-SUM(AZ26:BB26)</f>
        <v>258557</v>
      </c>
      <c r="BD26" s="70">
        <v>942119</v>
      </c>
      <c r="BE26" s="40">
        <v>264131</v>
      </c>
      <c r="BF26" s="40">
        <v>353065</v>
      </c>
      <c r="BG26" s="40">
        <v>374725</v>
      </c>
      <c r="BH26" s="40">
        <v>340686</v>
      </c>
      <c r="BI26" s="58">
        <f t="shared" ref="BI26" si="131">SUM(BE26:BH26)</f>
        <v>1332607</v>
      </c>
      <c r="BJ26" s="40">
        <v>339214</v>
      </c>
      <c r="BK26" s="40">
        <v>392001</v>
      </c>
      <c r="BL26" s="40">
        <v>334498</v>
      </c>
      <c r="BM26" s="40">
        <v>308735</v>
      </c>
      <c r="BN26" s="58">
        <f t="shared" ref="BN26" si="132">SUM(BJ26:BM26)</f>
        <v>1374448</v>
      </c>
      <c r="BO26" s="40">
        <v>301085</v>
      </c>
      <c r="BP26" s="40">
        <v>345591</v>
      </c>
      <c r="BQ26" s="40">
        <v>306260</v>
      </c>
      <c r="BR26" s="40">
        <v>276275</v>
      </c>
      <c r="BS26" s="58">
        <f t="shared" ref="BS26" si="133">SUM(BO26:BR26)</f>
        <v>1229211</v>
      </c>
      <c r="BT26" s="40">
        <v>218074</v>
      </c>
      <c r="BU26" s="40">
        <v>271708</v>
      </c>
      <c r="BV26" s="40">
        <v>290028</v>
      </c>
      <c r="BW26" s="40">
        <v>302668</v>
      </c>
      <c r="BX26" s="58">
        <f t="shared" ref="BX26" si="134">SUM(BT26:BW26)</f>
        <v>1082478</v>
      </c>
      <c r="BY26" s="40">
        <v>317241</v>
      </c>
      <c r="BZ26" s="40">
        <v>345653</v>
      </c>
      <c r="CA26" s="40">
        <v>346045</v>
      </c>
      <c r="CB26" s="40">
        <v>316465</v>
      </c>
      <c r="CC26" s="58">
        <f t="shared" ref="CC26" si="135">SUM(BY26:CB26)</f>
        <v>1325404</v>
      </c>
      <c r="CD26" s="40">
        <v>338963</v>
      </c>
      <c r="CE26" s="40">
        <v>343357</v>
      </c>
      <c r="CF26" s="40">
        <v>312546</v>
      </c>
      <c r="CG26" s="40">
        <v>296396</v>
      </c>
      <c r="CH26" s="58">
        <f t="shared" ref="CH26" si="136">SUM(CD26:CG26)</f>
        <v>1291262</v>
      </c>
      <c r="CI26" s="40">
        <v>312969</v>
      </c>
      <c r="CJ26" s="40">
        <v>314184</v>
      </c>
      <c r="CK26" s="40">
        <v>265226</v>
      </c>
      <c r="CL26" s="40">
        <v>260425</v>
      </c>
      <c r="CM26" s="58">
        <f t="shared" ref="CM26" si="137">SUM(CI26:CL26)</f>
        <v>1152804</v>
      </c>
      <c r="CN26" s="40">
        <v>226365</v>
      </c>
      <c r="CO26" s="40">
        <v>225773</v>
      </c>
      <c r="CP26" s="40"/>
      <c r="CQ26" s="40"/>
      <c r="CR26" s="58">
        <f t="shared" ref="CR26" si="138">SUM(CN26:CQ26)</f>
        <v>452138</v>
      </c>
    </row>
    <row r="27" spans="1:96" ht="11.15" customHeight="1" x14ac:dyDescent="0.2">
      <c r="A27" s="7" t="s">
        <v>108</v>
      </c>
      <c r="B27" s="11"/>
      <c r="C27" s="11"/>
      <c r="D27" s="11"/>
      <c r="E27" s="11"/>
      <c r="F27" s="61">
        <f>SUM(F28:F30)</f>
        <v>45625</v>
      </c>
      <c r="G27" s="11"/>
      <c r="H27" s="11"/>
      <c r="I27" s="11"/>
      <c r="J27" s="11"/>
      <c r="K27" s="61">
        <f>SUM(K28:K30)</f>
        <v>48633</v>
      </c>
      <c r="L27" s="11"/>
      <c r="M27" s="11"/>
      <c r="N27" s="11"/>
      <c r="O27" s="11"/>
      <c r="P27" s="61">
        <f>SUM(P28:P30)</f>
        <v>41356</v>
      </c>
      <c r="Q27" s="11"/>
      <c r="R27" s="11"/>
      <c r="S27" s="11"/>
      <c r="T27" s="11"/>
      <c r="U27" s="61">
        <f>SUM(U28:U30)</f>
        <v>45030</v>
      </c>
      <c r="V27" s="11">
        <f>SUM(V28:V30)</f>
        <v>8464</v>
      </c>
      <c r="W27" s="11">
        <f>SUM(W28:W30)</f>
        <v>9993</v>
      </c>
      <c r="X27" s="11">
        <f>SUM(X28:X30)</f>
        <v>12269</v>
      </c>
      <c r="Y27" s="11">
        <f>Z27-SUM(V27:X27)</f>
        <v>16516</v>
      </c>
      <c r="Z27" s="61">
        <f>SUM(Z28:Z30)</f>
        <v>47242</v>
      </c>
      <c r="AA27" s="11">
        <f>SUM(AA28:AA30)</f>
        <v>13561</v>
      </c>
      <c r="AB27" s="11">
        <f>SUM(AB28:AB30)</f>
        <v>14036</v>
      </c>
      <c r="AC27" s="11">
        <f>SUM(AC28:AC30)</f>
        <v>14772</v>
      </c>
      <c r="AD27" s="11">
        <f>AE27-SUM(AA27:AC27)</f>
        <v>12670</v>
      </c>
      <c r="AE27" s="61">
        <f>SUM(AE28:AE30)</f>
        <v>55039</v>
      </c>
      <c r="AF27" s="36">
        <v>20004</v>
      </c>
      <c r="AG27" s="36">
        <v>13316</v>
      </c>
      <c r="AH27" s="36">
        <v>18654</v>
      </c>
      <c r="AI27" s="11">
        <f t="shared" ref="AI27" si="139">AJ27-SUM(AF27:AH27)</f>
        <v>18541</v>
      </c>
      <c r="AJ27" s="61">
        <f>SUM(AJ28:AJ30)</f>
        <v>70515</v>
      </c>
      <c r="AK27" s="36">
        <v>8807</v>
      </c>
      <c r="AL27" s="36">
        <v>10553</v>
      </c>
      <c r="AM27" s="36">
        <v>8051</v>
      </c>
      <c r="AN27" s="11">
        <f t="shared" ref="AN27" si="140">AO27-SUM(AK27:AM27)</f>
        <v>11921</v>
      </c>
      <c r="AO27" s="61">
        <f>SUM(AO28:AO30)</f>
        <v>39332</v>
      </c>
      <c r="AP27" s="36">
        <v>7851</v>
      </c>
      <c r="AQ27" s="36">
        <v>6933</v>
      </c>
      <c r="AR27" s="36">
        <v>7363</v>
      </c>
      <c r="AS27" s="11">
        <f t="shared" ref="AS27" si="141">AT27-SUM(AP27:AR27)</f>
        <v>16411</v>
      </c>
      <c r="AT27" s="61">
        <f>SUM(AT28:AT30)</f>
        <v>38558</v>
      </c>
      <c r="AU27" s="36">
        <v>6957</v>
      </c>
      <c r="AV27" s="36">
        <v>10652</v>
      </c>
      <c r="AW27" s="36">
        <v>19728</v>
      </c>
      <c r="AX27" s="11">
        <f t="shared" ref="AX27" si="142">AY27-SUM(AU27:AW27)</f>
        <v>14593</v>
      </c>
      <c r="AY27" s="61">
        <f>SUM(AY28:AY30)</f>
        <v>51930</v>
      </c>
      <c r="AZ27" s="36">
        <v>9041</v>
      </c>
      <c r="BA27" s="36">
        <v>13731</v>
      </c>
      <c r="BB27" s="36">
        <v>19718</v>
      </c>
      <c r="BC27" s="11">
        <f t="shared" ref="BC27" si="143">BD27-SUM(AZ27:BB27)</f>
        <v>21564</v>
      </c>
      <c r="BD27" s="61">
        <f>SUM(BD28:BD30)</f>
        <v>64054</v>
      </c>
      <c r="BE27" s="36">
        <v>21715</v>
      </c>
      <c r="BF27" s="36">
        <v>16308</v>
      </c>
      <c r="BG27" s="36">
        <v>17890</v>
      </c>
      <c r="BH27" s="36">
        <v>20369</v>
      </c>
      <c r="BI27" s="61">
        <f t="shared" ref="BI27" si="144">SUM(BE27:BH27)</f>
        <v>76282</v>
      </c>
      <c r="BJ27" s="36">
        <v>20650</v>
      </c>
      <c r="BK27" s="36">
        <v>21612</v>
      </c>
      <c r="BL27" s="36">
        <v>21848</v>
      </c>
      <c r="BM27" s="36">
        <v>21316</v>
      </c>
      <c r="BN27" s="61">
        <f t="shared" ref="BN27" si="145">SUM(BJ27:BM27)</f>
        <v>85426</v>
      </c>
      <c r="BO27" s="36">
        <v>13962</v>
      </c>
      <c r="BP27" s="36">
        <v>18178</v>
      </c>
      <c r="BQ27" s="36">
        <v>22878</v>
      </c>
      <c r="BR27" s="36">
        <v>30352</v>
      </c>
      <c r="BS27" s="61">
        <f t="shared" ref="BS27" si="146">SUM(BO27:BR27)</f>
        <v>85370</v>
      </c>
      <c r="BT27" s="36">
        <v>31168</v>
      </c>
      <c r="BU27" s="36">
        <v>24703</v>
      </c>
      <c r="BV27" s="36">
        <v>28413</v>
      </c>
      <c r="BW27" s="36">
        <v>33962</v>
      </c>
      <c r="BX27" s="61">
        <f t="shared" ref="BX27" si="147">SUM(BT27:BW27)</f>
        <v>118246</v>
      </c>
      <c r="BY27" s="36">
        <v>28344</v>
      </c>
      <c r="BZ27" s="36">
        <v>26005</v>
      </c>
      <c r="CA27" s="36">
        <v>33105</v>
      </c>
      <c r="CB27" s="36">
        <v>48002</v>
      </c>
      <c r="CC27" s="61">
        <f t="shared" ref="CC27" si="148">SUM(BY27:CB27)</f>
        <v>135456</v>
      </c>
      <c r="CD27" s="36">
        <v>31016</v>
      </c>
      <c r="CE27" s="101">
        <v>33666</v>
      </c>
      <c r="CF27" s="101">
        <v>36460</v>
      </c>
      <c r="CG27" s="101">
        <v>37143</v>
      </c>
      <c r="CH27" s="61">
        <f t="shared" ref="CH27" si="149">SUM(CD27:CG27)</f>
        <v>138285</v>
      </c>
      <c r="CI27" s="36">
        <v>34205</v>
      </c>
      <c r="CJ27" s="36">
        <v>25787</v>
      </c>
      <c r="CK27" s="36">
        <v>36175</v>
      </c>
      <c r="CL27" s="101">
        <v>38468</v>
      </c>
      <c r="CM27" s="61">
        <f t="shared" ref="CM27" si="150">SUM(CI27:CL27)</f>
        <v>134635</v>
      </c>
      <c r="CN27" s="36">
        <v>25644</v>
      </c>
      <c r="CO27" s="36">
        <v>31872</v>
      </c>
      <c r="CP27" s="36"/>
      <c r="CQ27" s="101"/>
      <c r="CR27" s="61">
        <f t="shared" ref="CR27" si="151">SUM(CN27:CQ27)</f>
        <v>57516</v>
      </c>
    </row>
    <row r="28" spans="1:96" ht="11.15" customHeight="1" x14ac:dyDescent="0.2">
      <c r="A28" s="21" t="s">
        <v>105</v>
      </c>
      <c r="B28" s="11"/>
      <c r="C28" s="11"/>
      <c r="D28" s="11"/>
      <c r="E28" s="11"/>
      <c r="F28" s="65">
        <v>19224</v>
      </c>
      <c r="G28" s="11"/>
      <c r="H28" s="11"/>
      <c r="I28" s="11"/>
      <c r="J28" s="11"/>
      <c r="K28" s="65">
        <v>25047</v>
      </c>
      <c r="L28" s="11"/>
      <c r="M28" s="11"/>
      <c r="N28" s="11"/>
      <c r="O28" s="11"/>
      <c r="P28" s="65">
        <v>24670</v>
      </c>
      <c r="Q28" s="11"/>
      <c r="R28" s="11"/>
      <c r="S28" s="11"/>
      <c r="T28" s="11"/>
      <c r="U28" s="65">
        <v>26557</v>
      </c>
      <c r="V28" s="36">
        <v>4684</v>
      </c>
      <c r="W28" s="36">
        <v>5382</v>
      </c>
      <c r="X28" s="36">
        <v>5684</v>
      </c>
      <c r="Y28" s="11">
        <f t="shared" ref="Y28:Y30" si="152">Z28-SUM(V28:X28)</f>
        <v>9446</v>
      </c>
      <c r="Z28" s="65">
        <v>25196</v>
      </c>
      <c r="AA28" s="36">
        <v>8232</v>
      </c>
      <c r="AB28" s="36">
        <v>6253</v>
      </c>
      <c r="AC28" s="36">
        <v>5017</v>
      </c>
      <c r="AD28" s="11">
        <f t="shared" ref="AD28:AD30" si="153">AE28-SUM(AA28:AC28)</f>
        <v>6416</v>
      </c>
      <c r="AE28" s="65">
        <v>25918</v>
      </c>
      <c r="AF28" s="11"/>
      <c r="AG28" s="11"/>
      <c r="AH28" s="11"/>
      <c r="AI28" s="11"/>
      <c r="AJ28" s="65">
        <v>43052</v>
      </c>
      <c r="AK28" s="11"/>
      <c r="AL28" s="11"/>
      <c r="AM28" s="11"/>
      <c r="AN28" s="11"/>
      <c r="AO28" s="65">
        <v>26190</v>
      </c>
      <c r="AP28" s="11"/>
      <c r="AQ28" s="11"/>
      <c r="AR28" s="11"/>
      <c r="AS28" s="11"/>
      <c r="AT28" s="65">
        <v>25704</v>
      </c>
      <c r="AU28" s="11"/>
      <c r="AV28" s="11"/>
      <c r="AW28" s="11"/>
      <c r="AX28" s="11"/>
      <c r="AY28" s="65">
        <v>28866</v>
      </c>
      <c r="AZ28" s="11"/>
      <c r="BA28" s="11"/>
      <c r="BB28" s="11"/>
      <c r="BC28" s="11"/>
      <c r="BD28" s="65">
        <v>28166</v>
      </c>
      <c r="BE28" s="53"/>
      <c r="BF28" s="11"/>
      <c r="BG28" s="11"/>
      <c r="BH28" s="11"/>
      <c r="BI28" s="65">
        <v>36836</v>
      </c>
      <c r="BJ28" s="53"/>
      <c r="BK28" s="11"/>
      <c r="BL28" s="11"/>
      <c r="BM28" s="11"/>
      <c r="BN28" s="65">
        <v>43469</v>
      </c>
      <c r="BO28" s="53"/>
      <c r="BP28" s="11"/>
      <c r="BQ28" s="11"/>
      <c r="BR28" s="11"/>
      <c r="BS28" s="65">
        <v>40779</v>
      </c>
      <c r="BT28" s="53"/>
      <c r="BU28" s="11"/>
      <c r="BV28" s="11"/>
      <c r="BW28" s="11"/>
      <c r="BX28" s="65">
        <v>63859</v>
      </c>
      <c r="BY28" s="53"/>
      <c r="BZ28" s="11"/>
      <c r="CA28" s="11"/>
      <c r="CB28" s="11"/>
      <c r="CC28" s="65">
        <v>69257</v>
      </c>
      <c r="CD28" s="53"/>
      <c r="CE28" s="11"/>
      <c r="CF28" s="11"/>
      <c r="CG28" s="11"/>
      <c r="CH28" s="65">
        <v>54308</v>
      </c>
      <c r="CI28" s="53"/>
      <c r="CJ28" s="53"/>
      <c r="CK28" s="11"/>
      <c r="CL28" s="11"/>
      <c r="CM28" s="65">
        <v>55576</v>
      </c>
      <c r="CN28" s="53"/>
      <c r="CO28" s="53"/>
      <c r="CP28" s="11"/>
      <c r="CQ28" s="11"/>
      <c r="CR28" s="65"/>
    </row>
    <row r="29" spans="1:96" ht="11.15" customHeight="1" x14ac:dyDescent="0.2">
      <c r="A29" s="21" t="s">
        <v>106</v>
      </c>
      <c r="B29" s="11"/>
      <c r="C29" s="11"/>
      <c r="D29" s="11"/>
      <c r="E29" s="11"/>
      <c r="F29" s="65">
        <v>15222</v>
      </c>
      <c r="G29" s="11"/>
      <c r="H29" s="11"/>
      <c r="I29" s="11"/>
      <c r="J29" s="11"/>
      <c r="K29" s="65">
        <v>13062</v>
      </c>
      <c r="L29" s="11"/>
      <c r="M29" s="11"/>
      <c r="N29" s="11"/>
      <c r="O29" s="11"/>
      <c r="P29" s="65">
        <v>12904</v>
      </c>
      <c r="Q29" s="11"/>
      <c r="R29" s="11"/>
      <c r="S29" s="11"/>
      <c r="T29" s="11"/>
      <c r="U29" s="65">
        <v>10867</v>
      </c>
      <c r="V29" s="36">
        <v>1854</v>
      </c>
      <c r="W29" s="36">
        <v>2133</v>
      </c>
      <c r="X29" s="36">
        <v>5206</v>
      </c>
      <c r="Y29" s="11">
        <f t="shared" si="152"/>
        <v>4827</v>
      </c>
      <c r="Z29" s="65">
        <v>14020</v>
      </c>
      <c r="AA29" s="36">
        <v>3202</v>
      </c>
      <c r="AB29" s="36">
        <v>5866</v>
      </c>
      <c r="AC29" s="36">
        <v>7352</v>
      </c>
      <c r="AD29" s="11">
        <f t="shared" si="153"/>
        <v>3948</v>
      </c>
      <c r="AE29" s="65">
        <v>20368</v>
      </c>
      <c r="AF29" s="11"/>
      <c r="AG29" s="11"/>
      <c r="AH29" s="11"/>
      <c r="AI29" s="11"/>
      <c r="AJ29" s="65">
        <v>21706</v>
      </c>
      <c r="AK29" s="11"/>
      <c r="AL29" s="11"/>
      <c r="AM29" s="11"/>
      <c r="AN29" s="11"/>
      <c r="AO29" s="65">
        <v>9135</v>
      </c>
      <c r="AP29" s="11"/>
      <c r="AQ29" s="11"/>
      <c r="AR29" s="11"/>
      <c r="AS29" s="11"/>
      <c r="AT29" s="65">
        <v>8523</v>
      </c>
      <c r="AU29" s="11"/>
      <c r="AV29" s="11"/>
      <c r="AW29" s="11"/>
      <c r="AX29" s="11"/>
      <c r="AY29" s="65">
        <v>14399</v>
      </c>
      <c r="AZ29" s="11"/>
      <c r="BA29" s="11"/>
      <c r="BB29" s="11"/>
      <c r="BC29" s="11"/>
      <c r="BD29" s="65">
        <v>28823</v>
      </c>
      <c r="BE29" s="11"/>
      <c r="BF29" s="11"/>
      <c r="BG29" s="11"/>
      <c r="BH29" s="11"/>
      <c r="BI29" s="65">
        <v>32023</v>
      </c>
      <c r="BJ29" s="11"/>
      <c r="BK29" s="11"/>
      <c r="BL29" s="11"/>
      <c r="BM29" s="11"/>
      <c r="BN29" s="65">
        <v>34397</v>
      </c>
      <c r="BO29" s="11"/>
      <c r="BP29" s="11"/>
      <c r="BQ29" s="11"/>
      <c r="BR29" s="11"/>
      <c r="BS29" s="65">
        <v>30111</v>
      </c>
      <c r="BT29" s="11"/>
      <c r="BU29" s="11"/>
      <c r="BV29" s="11"/>
      <c r="BW29" s="11"/>
      <c r="BX29" s="65">
        <v>23144</v>
      </c>
      <c r="BY29" s="11"/>
      <c r="BZ29" s="11"/>
      <c r="CA29" s="11"/>
      <c r="CB29" s="11"/>
      <c r="CC29" s="65">
        <v>23263</v>
      </c>
      <c r="CD29" s="11"/>
      <c r="CE29" s="11"/>
      <c r="CF29" s="11"/>
      <c r="CG29" s="11"/>
      <c r="CH29" s="65">
        <v>13575</v>
      </c>
      <c r="CI29" s="11"/>
      <c r="CJ29" s="11"/>
      <c r="CK29" s="11"/>
      <c r="CL29" s="11"/>
      <c r="CM29" s="65">
        <v>7488</v>
      </c>
      <c r="CN29" s="11"/>
      <c r="CO29" s="11"/>
      <c r="CP29" s="11"/>
      <c r="CQ29" s="11"/>
      <c r="CR29" s="65"/>
    </row>
    <row r="30" spans="1:96" ht="11.15" customHeight="1" x14ac:dyDescent="0.2">
      <c r="A30" s="21" t="s">
        <v>107</v>
      </c>
      <c r="B30" s="11"/>
      <c r="C30" s="11"/>
      <c r="D30" s="11"/>
      <c r="E30" s="11"/>
      <c r="F30" s="65">
        <v>11179</v>
      </c>
      <c r="G30" s="11"/>
      <c r="H30" s="11"/>
      <c r="I30" s="11"/>
      <c r="J30" s="11"/>
      <c r="K30" s="65">
        <v>10524</v>
      </c>
      <c r="L30" s="11"/>
      <c r="M30" s="11"/>
      <c r="N30" s="11"/>
      <c r="O30" s="11"/>
      <c r="P30" s="65">
        <v>3782</v>
      </c>
      <c r="Q30" s="11"/>
      <c r="R30" s="11"/>
      <c r="S30" s="11"/>
      <c r="T30" s="11"/>
      <c r="U30" s="65">
        <v>7606</v>
      </c>
      <c r="V30" s="36">
        <v>1926</v>
      </c>
      <c r="W30" s="36">
        <v>2478</v>
      </c>
      <c r="X30" s="36">
        <v>1379</v>
      </c>
      <c r="Y30" s="11">
        <f t="shared" si="152"/>
        <v>2243</v>
      </c>
      <c r="Z30" s="65">
        <v>8026</v>
      </c>
      <c r="AA30" s="36">
        <v>2127</v>
      </c>
      <c r="AB30" s="36">
        <v>1917</v>
      </c>
      <c r="AC30" s="36">
        <v>2403</v>
      </c>
      <c r="AD30" s="11">
        <f t="shared" si="153"/>
        <v>2306</v>
      </c>
      <c r="AE30" s="65">
        <v>8753</v>
      </c>
      <c r="AF30" s="11"/>
      <c r="AG30" s="11"/>
      <c r="AH30" s="11"/>
      <c r="AI30" s="11"/>
      <c r="AJ30" s="65">
        <v>5757</v>
      </c>
      <c r="AK30" s="11"/>
      <c r="AL30" s="11"/>
      <c r="AM30" s="11"/>
      <c r="AN30" s="11"/>
      <c r="AO30" s="65">
        <v>4007</v>
      </c>
      <c r="AP30" s="11"/>
      <c r="AQ30" s="11"/>
      <c r="AR30" s="11"/>
      <c r="AS30" s="11"/>
      <c r="AT30" s="65">
        <v>4331</v>
      </c>
      <c r="AU30" s="11"/>
      <c r="AV30" s="11"/>
      <c r="AW30" s="11"/>
      <c r="AX30" s="11"/>
      <c r="AY30" s="65">
        <v>8665</v>
      </c>
      <c r="AZ30" s="11"/>
      <c r="BA30" s="11"/>
      <c r="BB30" s="11"/>
      <c r="BC30" s="11"/>
      <c r="BD30" s="65">
        <v>7065</v>
      </c>
      <c r="BE30" s="11"/>
      <c r="BF30" s="11"/>
      <c r="BG30" s="11"/>
      <c r="BH30" s="11"/>
      <c r="BI30" s="65">
        <v>7423</v>
      </c>
      <c r="BJ30" s="11"/>
      <c r="BK30" s="11"/>
      <c r="BL30" s="11"/>
      <c r="BM30" s="11"/>
      <c r="BN30" s="65">
        <v>7560</v>
      </c>
      <c r="BO30" s="11"/>
      <c r="BP30" s="11"/>
      <c r="BQ30" s="11"/>
      <c r="BR30" s="11"/>
      <c r="BS30" s="65">
        <v>14480</v>
      </c>
      <c r="BT30" s="11"/>
      <c r="BU30" s="11"/>
      <c r="BV30" s="11"/>
      <c r="BW30" s="11"/>
      <c r="BX30" s="65">
        <v>31243</v>
      </c>
      <c r="BY30" s="11"/>
      <c r="BZ30" s="11"/>
      <c r="CA30" s="11"/>
      <c r="CB30" s="11"/>
      <c r="CC30" s="65">
        <v>42936</v>
      </c>
      <c r="CD30" s="11"/>
      <c r="CE30" s="11"/>
      <c r="CF30" s="11"/>
      <c r="CG30" s="11"/>
      <c r="CH30" s="65">
        <v>70402</v>
      </c>
      <c r="CI30" s="11"/>
      <c r="CJ30" s="11"/>
      <c r="CK30" s="11"/>
      <c r="CL30" s="11"/>
      <c r="CM30" s="65">
        <v>71571</v>
      </c>
      <c r="CN30" s="11"/>
      <c r="CO30" s="11"/>
      <c r="CP30" s="11"/>
      <c r="CQ30" s="11"/>
      <c r="CR30" s="65"/>
    </row>
    <row r="31" spans="1:96" s="2" customFormat="1" ht="11.15" customHeight="1" x14ac:dyDescent="0.25">
      <c r="A31" s="6" t="s">
        <v>14</v>
      </c>
      <c r="B31" s="31"/>
      <c r="C31" s="31"/>
      <c r="D31" s="31"/>
      <c r="E31" s="31"/>
      <c r="F31" s="76">
        <f>SUM(F26:F27)</f>
        <v>143225</v>
      </c>
      <c r="G31" s="31"/>
      <c r="H31" s="31"/>
      <c r="I31" s="31"/>
      <c r="J31" s="31"/>
      <c r="K31" s="76">
        <f>SUM(K26:K27)</f>
        <v>188677</v>
      </c>
      <c r="L31" s="31"/>
      <c r="M31" s="31"/>
      <c r="N31" s="31"/>
      <c r="O31" s="31"/>
      <c r="P31" s="76">
        <f>SUM(P26:P27)</f>
        <v>229076</v>
      </c>
      <c r="Q31" s="31"/>
      <c r="R31" s="31"/>
      <c r="S31" s="31"/>
      <c r="T31" s="31"/>
      <c r="U31" s="76">
        <f>SUM(U26:U27)</f>
        <v>185894</v>
      </c>
      <c r="V31" s="31">
        <f>SUM(V26:V27)</f>
        <v>51204</v>
      </c>
      <c r="W31" s="31">
        <f>SUM(W26:W27)</f>
        <v>67258</v>
      </c>
      <c r="X31" s="31">
        <f>SUM(X26:X27)</f>
        <v>79809</v>
      </c>
      <c r="Y31" s="31">
        <f>SUM(Y26:Y27)</f>
        <v>100985</v>
      </c>
      <c r="Z31" s="76">
        <f>SUM(V31:Y31)</f>
        <v>299256</v>
      </c>
      <c r="AA31" s="31">
        <f>SUM(AA26:AA27)</f>
        <v>99958</v>
      </c>
      <c r="AB31" s="31">
        <f>SUM(AB26:AB27)</f>
        <v>121936</v>
      </c>
      <c r="AC31" s="31">
        <f>SUM(AC26:AC27)</f>
        <v>129064</v>
      </c>
      <c r="AD31" s="31">
        <f>SUM(AD26:AD27)</f>
        <v>123524</v>
      </c>
      <c r="AE31" s="76">
        <f>SUM(AA31:AD31)</f>
        <v>474482</v>
      </c>
      <c r="AF31" s="31">
        <f>SUM(AF26:AF27)</f>
        <v>123192</v>
      </c>
      <c r="AG31" s="31">
        <f>SUM(AG26:AG27)</f>
        <v>137927</v>
      </c>
      <c r="AH31" s="31">
        <f>SUM(AH26:AH27)</f>
        <v>156379</v>
      </c>
      <c r="AI31" s="31">
        <f>SUM(AI26:AI27)</f>
        <v>145030</v>
      </c>
      <c r="AJ31" s="76">
        <f>SUM(AF31:AI31)</f>
        <v>562528</v>
      </c>
      <c r="AK31" s="31">
        <f>SUM(AK26:AK27)</f>
        <v>141852</v>
      </c>
      <c r="AL31" s="31">
        <f>SUM(AL26:AL27)</f>
        <v>168171</v>
      </c>
      <c r="AM31" s="31">
        <f>SUM(AM26:AM27)</f>
        <v>172152</v>
      </c>
      <c r="AN31" s="31">
        <f>SUM(AN26:AN27)</f>
        <v>165859</v>
      </c>
      <c r="AO31" s="76">
        <f>SUM(AK31:AN31)</f>
        <v>648034</v>
      </c>
      <c r="AP31" s="31">
        <f>SUM(AP26:AP27)</f>
        <v>170575</v>
      </c>
      <c r="AQ31" s="31">
        <f>SUM(AQ26:AQ27)</f>
        <v>192204</v>
      </c>
      <c r="AR31" s="31">
        <f>SUM(AR26:AR27)</f>
        <v>199651</v>
      </c>
      <c r="AS31" s="31">
        <f>SUM(AS26:AS27)</f>
        <v>207402</v>
      </c>
      <c r="AT31" s="76">
        <f>SUM(AP31:AS31)</f>
        <v>769832</v>
      </c>
      <c r="AU31" s="31">
        <f>SUM(AU26:AU27)</f>
        <v>198960</v>
      </c>
      <c r="AV31" s="31">
        <f>SUM(AV26:AV27)</f>
        <v>235138</v>
      </c>
      <c r="AW31" s="31">
        <f>SUM(AW26:AW27)</f>
        <v>243541</v>
      </c>
      <c r="AX31" s="31">
        <f>SUM(AX26:AX27)</f>
        <v>223626</v>
      </c>
      <c r="AY31" s="76">
        <f>SUM(AU31:AX31)</f>
        <v>901265</v>
      </c>
      <c r="AZ31" s="31">
        <f t="shared" ref="AZ31:BG31" si="154">SUM(AZ26:AZ27)</f>
        <v>207248</v>
      </c>
      <c r="BA31" s="31">
        <f t="shared" si="154"/>
        <v>252787</v>
      </c>
      <c r="BB31" s="31">
        <f t="shared" si="154"/>
        <v>266017</v>
      </c>
      <c r="BC31" s="31">
        <f t="shared" si="154"/>
        <v>280121</v>
      </c>
      <c r="BD31" s="76">
        <f t="shared" si="154"/>
        <v>1006173</v>
      </c>
      <c r="BE31" s="31">
        <f t="shared" si="154"/>
        <v>285846</v>
      </c>
      <c r="BF31" s="31">
        <f t="shared" si="154"/>
        <v>369373</v>
      </c>
      <c r="BG31" s="31">
        <f t="shared" si="154"/>
        <v>392615</v>
      </c>
      <c r="BH31" s="31">
        <f t="shared" ref="BH31" si="155">SUM(BH26:BH27)</f>
        <v>361055</v>
      </c>
      <c r="BI31" s="76">
        <f t="shared" ref="BI31:BM31" si="156">SUM(BI26:BI27)</f>
        <v>1408889</v>
      </c>
      <c r="BJ31" s="31">
        <f t="shared" si="156"/>
        <v>359864</v>
      </c>
      <c r="BK31" s="31">
        <f t="shared" si="156"/>
        <v>413613</v>
      </c>
      <c r="BL31" s="31">
        <f t="shared" si="156"/>
        <v>356346</v>
      </c>
      <c r="BM31" s="31">
        <f t="shared" si="156"/>
        <v>330051</v>
      </c>
      <c r="BN31" s="76">
        <f t="shared" ref="BN31:BP31" si="157">SUM(BN26:BN27)</f>
        <v>1459874</v>
      </c>
      <c r="BO31" s="31">
        <f t="shared" si="157"/>
        <v>315047</v>
      </c>
      <c r="BP31" s="31">
        <f t="shared" si="157"/>
        <v>363769</v>
      </c>
      <c r="BQ31" s="31">
        <f t="shared" ref="BQ31:BW31" si="158">SUM(BQ26:BQ27)</f>
        <v>329138</v>
      </c>
      <c r="BR31" s="31">
        <f t="shared" si="158"/>
        <v>306627</v>
      </c>
      <c r="BS31" s="76">
        <f t="shared" si="158"/>
        <v>1314581</v>
      </c>
      <c r="BT31" s="31">
        <f t="shared" si="158"/>
        <v>249242</v>
      </c>
      <c r="BU31" s="31">
        <f t="shared" si="158"/>
        <v>296411</v>
      </c>
      <c r="BV31" s="31">
        <f t="shared" si="158"/>
        <v>318441</v>
      </c>
      <c r="BW31" s="31">
        <f t="shared" si="158"/>
        <v>336630</v>
      </c>
      <c r="BX31" s="76">
        <f t="shared" ref="BX31:CB31" si="159">SUM(BX26:BX27)</f>
        <v>1200724</v>
      </c>
      <c r="BY31" s="31">
        <f t="shared" si="159"/>
        <v>345585</v>
      </c>
      <c r="BZ31" s="31">
        <f t="shared" si="159"/>
        <v>371658</v>
      </c>
      <c r="CA31" s="31">
        <f t="shared" ref="CA31" si="160">SUM(CA26:CA27)</f>
        <v>379150</v>
      </c>
      <c r="CB31" s="31">
        <f t="shared" si="159"/>
        <v>364467</v>
      </c>
      <c r="CC31" s="76">
        <f t="shared" ref="CC31" si="161">SUM(CC26:CC27)</f>
        <v>1460860</v>
      </c>
      <c r="CD31" s="31">
        <f>SUM(CD26:CD27)</f>
        <v>369979</v>
      </c>
      <c r="CE31" s="31">
        <f>SUM(CE26:CE27)</f>
        <v>377023</v>
      </c>
      <c r="CF31" s="31">
        <f>SUM(CF26:CF27)</f>
        <v>349006</v>
      </c>
      <c r="CG31" s="31">
        <f>SUM(CG26:CG27)</f>
        <v>333539</v>
      </c>
      <c r="CH31" s="76">
        <f t="shared" ref="CH31" si="162">SUM(CH26:CH27)</f>
        <v>1429547</v>
      </c>
      <c r="CI31" s="31">
        <f>SUM(CI26:CI27)</f>
        <v>347174</v>
      </c>
      <c r="CJ31" s="31">
        <f>SUM(CJ26:CJ27)</f>
        <v>339971</v>
      </c>
      <c r="CK31" s="31">
        <f>SUM(CK26:CK27)</f>
        <v>301401</v>
      </c>
      <c r="CL31" s="31">
        <f>SUM(CL26:CL27)</f>
        <v>298893</v>
      </c>
      <c r="CM31" s="76">
        <f t="shared" ref="CM31" si="163">SUM(CM26:CM27)</f>
        <v>1287439</v>
      </c>
      <c r="CN31" s="31">
        <f>SUM(CN26:CN27)</f>
        <v>252009</v>
      </c>
      <c r="CO31" s="31">
        <f>SUM(CO26:CO27)</f>
        <v>257645</v>
      </c>
      <c r="CP31" s="31"/>
      <c r="CQ31" s="31"/>
      <c r="CR31" s="76">
        <f t="shared" ref="CR31" si="164">SUM(CR26:CR27)</f>
        <v>509654</v>
      </c>
    </row>
    <row r="32" spans="1:96" s="2" customFormat="1" ht="11.15" customHeight="1" x14ac:dyDescent="0.25">
      <c r="A32" s="21"/>
      <c r="B32" s="11"/>
      <c r="C32" s="11"/>
      <c r="D32" s="11"/>
      <c r="E32" s="11"/>
      <c r="F32" s="61"/>
      <c r="G32" s="11"/>
      <c r="H32" s="11"/>
      <c r="I32" s="11"/>
      <c r="J32" s="11"/>
      <c r="K32" s="61"/>
      <c r="L32" s="11"/>
      <c r="M32" s="11"/>
      <c r="N32" s="11"/>
      <c r="O32" s="11"/>
      <c r="P32" s="61"/>
      <c r="Q32" s="11"/>
      <c r="R32" s="11"/>
      <c r="S32" s="11"/>
      <c r="T32" s="11"/>
      <c r="U32" s="61"/>
      <c r="V32" s="11"/>
      <c r="W32" s="11"/>
      <c r="X32" s="11"/>
      <c r="Y32" s="11"/>
      <c r="Z32" s="61"/>
      <c r="AA32" s="11"/>
      <c r="AB32" s="11"/>
      <c r="AC32" s="11"/>
      <c r="AD32" s="11"/>
      <c r="AE32" s="61"/>
      <c r="AF32" s="11"/>
      <c r="AG32" s="11"/>
      <c r="AH32" s="11"/>
      <c r="AI32" s="11"/>
      <c r="AJ32" s="61"/>
      <c r="AK32" s="11"/>
      <c r="AL32" s="11"/>
      <c r="AM32" s="11"/>
      <c r="AN32" s="11"/>
      <c r="AO32" s="61"/>
      <c r="AP32" s="11"/>
      <c r="AQ32" s="11"/>
      <c r="AR32" s="11"/>
      <c r="AS32" s="11"/>
      <c r="AT32" s="61"/>
      <c r="AU32" s="11"/>
      <c r="AV32" s="11"/>
      <c r="AW32" s="11"/>
      <c r="AX32" s="11"/>
      <c r="AY32" s="61"/>
      <c r="AZ32" s="11"/>
      <c r="BA32" s="11"/>
      <c r="BB32" s="11"/>
      <c r="BC32" s="11"/>
      <c r="BD32" s="61"/>
      <c r="BE32" s="11"/>
      <c r="BF32" s="11"/>
      <c r="BG32" s="11"/>
      <c r="BH32" s="11"/>
      <c r="BI32" s="85"/>
      <c r="BJ32" s="11"/>
      <c r="BK32" s="11"/>
      <c r="BL32" s="11"/>
      <c r="BM32" s="11"/>
      <c r="BN32" s="61"/>
      <c r="BO32" s="11"/>
      <c r="BP32" s="11"/>
      <c r="BQ32" s="11"/>
      <c r="BR32" s="11"/>
      <c r="BS32" s="61"/>
      <c r="BT32" s="11"/>
      <c r="BU32" s="11"/>
      <c r="BV32" s="11"/>
      <c r="BW32" s="11"/>
      <c r="BX32" s="61"/>
      <c r="BY32" s="11"/>
      <c r="BZ32" s="11"/>
      <c r="CA32" s="11"/>
      <c r="CB32" s="11"/>
      <c r="CC32" s="61"/>
      <c r="CD32" s="11"/>
      <c r="CE32" s="11"/>
      <c r="CF32" s="11"/>
      <c r="CG32" s="11"/>
      <c r="CH32" s="61"/>
      <c r="CI32" s="11"/>
      <c r="CJ32" s="11"/>
      <c r="CK32" s="11"/>
      <c r="CL32" s="11"/>
      <c r="CM32" s="61"/>
      <c r="CN32" s="11"/>
      <c r="CO32" s="11"/>
      <c r="CP32" s="11"/>
      <c r="CQ32" s="11"/>
      <c r="CR32" s="61"/>
    </row>
    <row r="33" spans="1:96" s="30" customFormat="1" ht="11.15" customHeight="1" x14ac:dyDescent="0.25">
      <c r="A33" s="35" t="s">
        <v>112</v>
      </c>
      <c r="B33" s="28"/>
      <c r="C33" s="28"/>
      <c r="D33" s="29"/>
      <c r="E33" s="29"/>
      <c r="F33" s="75"/>
      <c r="G33" s="28"/>
      <c r="H33" s="28"/>
      <c r="I33" s="29"/>
      <c r="J33" s="29"/>
      <c r="K33" s="75"/>
      <c r="L33" s="28"/>
      <c r="M33" s="28"/>
      <c r="N33" s="29"/>
      <c r="O33" s="29"/>
      <c r="P33" s="75"/>
      <c r="Q33" s="28"/>
      <c r="R33" s="28"/>
      <c r="S33" s="29"/>
      <c r="T33" s="29"/>
      <c r="U33" s="75"/>
      <c r="V33" s="28"/>
      <c r="W33" s="28"/>
      <c r="X33" s="28"/>
      <c r="Y33" s="29"/>
      <c r="Z33" s="75"/>
      <c r="AA33" s="28"/>
      <c r="AB33" s="28"/>
      <c r="AC33" s="28"/>
      <c r="AD33" s="29"/>
      <c r="AE33" s="75"/>
      <c r="AF33" s="28"/>
      <c r="AG33" s="28"/>
      <c r="AH33" s="28"/>
      <c r="AI33" s="29"/>
      <c r="AJ33" s="75"/>
      <c r="AK33" s="28"/>
      <c r="AL33" s="28"/>
      <c r="AM33" s="28"/>
      <c r="AN33" s="29"/>
      <c r="AO33" s="75"/>
      <c r="AP33" s="28"/>
      <c r="AQ33" s="28"/>
      <c r="AR33" s="29"/>
      <c r="AS33" s="29"/>
      <c r="AT33" s="75"/>
      <c r="AU33" s="28"/>
      <c r="AV33" s="28"/>
      <c r="AW33" s="29"/>
      <c r="AX33" s="29"/>
      <c r="AY33" s="75"/>
      <c r="AZ33" s="28"/>
      <c r="BA33" s="28"/>
      <c r="BB33" s="28"/>
      <c r="BC33" s="29"/>
      <c r="BD33" s="75"/>
      <c r="BE33" s="28"/>
      <c r="BF33" s="28"/>
      <c r="BG33" s="28"/>
      <c r="BH33" s="29"/>
      <c r="BI33" s="75"/>
      <c r="BJ33" s="28"/>
      <c r="BK33" s="28"/>
      <c r="BL33" s="28"/>
      <c r="BM33" s="29"/>
      <c r="BN33" s="75"/>
      <c r="BO33" s="28"/>
      <c r="BP33" s="28"/>
      <c r="BQ33" s="28"/>
      <c r="BR33" s="29"/>
      <c r="BS33" s="75"/>
      <c r="BT33" s="28"/>
      <c r="BU33" s="28"/>
      <c r="BV33" s="28"/>
      <c r="BW33" s="29"/>
      <c r="BX33" s="75"/>
      <c r="BY33" s="28"/>
      <c r="BZ33" s="28"/>
      <c r="CA33" s="28"/>
      <c r="CB33" s="29"/>
      <c r="CC33" s="75"/>
      <c r="CD33" s="28"/>
      <c r="CE33" s="28"/>
      <c r="CF33" s="28"/>
      <c r="CG33" s="28"/>
      <c r="CH33" s="75"/>
      <c r="CI33" s="28"/>
      <c r="CJ33" s="28"/>
      <c r="CK33" s="28"/>
      <c r="CL33" s="28"/>
      <c r="CM33" s="75"/>
      <c r="CN33" s="28"/>
      <c r="CO33" s="28"/>
      <c r="CP33" s="28"/>
      <c r="CQ33" s="28"/>
      <c r="CR33" s="75"/>
    </row>
    <row r="34" spans="1:96" s="30" customFormat="1" ht="11.15" customHeight="1" x14ac:dyDescent="0.2">
      <c r="A34" s="7" t="s">
        <v>104</v>
      </c>
      <c r="B34" s="8"/>
      <c r="C34" s="8"/>
      <c r="D34" s="8"/>
      <c r="E34" s="8"/>
      <c r="F34" s="67">
        <f>F26/F$31</f>
        <v>0.6814452784080991</v>
      </c>
      <c r="G34" s="8"/>
      <c r="H34" s="8"/>
      <c r="I34" s="8"/>
      <c r="J34" s="8"/>
      <c r="K34" s="67">
        <f>K26/K$31</f>
        <v>0.74224203268018885</v>
      </c>
      <c r="L34" s="8"/>
      <c r="M34" s="8"/>
      <c r="N34" s="8"/>
      <c r="O34" s="8"/>
      <c r="P34" s="67">
        <f>P26/P$31</f>
        <v>0.81946602874155305</v>
      </c>
      <c r="Q34" s="8"/>
      <c r="R34" s="8"/>
      <c r="S34" s="8"/>
      <c r="T34" s="8"/>
      <c r="U34" s="67">
        <f t="shared" ref="U34:BD34" si="165">U26/U$31</f>
        <v>0.75776517800466936</v>
      </c>
      <c r="V34" s="46">
        <f t="shared" si="165"/>
        <v>0.83470041403015394</v>
      </c>
      <c r="W34" s="46">
        <f t="shared" si="165"/>
        <v>0.85142287906271374</v>
      </c>
      <c r="X34" s="46">
        <f t="shared" si="165"/>
        <v>0.84627047074891304</v>
      </c>
      <c r="Y34" s="46">
        <f t="shared" si="165"/>
        <v>0.83645095806307868</v>
      </c>
      <c r="Z34" s="67">
        <f t="shared" si="165"/>
        <v>0.84213516186809956</v>
      </c>
      <c r="AA34" s="46">
        <f t="shared" si="165"/>
        <v>0.86433301986834465</v>
      </c>
      <c r="AB34" s="46">
        <f t="shared" si="165"/>
        <v>0.88489043432620396</v>
      </c>
      <c r="AC34" s="46">
        <f t="shared" si="165"/>
        <v>0.88554515589165061</v>
      </c>
      <c r="AD34" s="46">
        <f t="shared" si="165"/>
        <v>0.89742883973964571</v>
      </c>
      <c r="AE34" s="67">
        <f t="shared" si="165"/>
        <v>0.8840019220960964</v>
      </c>
      <c r="AF34" s="46">
        <f t="shared" si="165"/>
        <v>0.83761932593025523</v>
      </c>
      <c r="AG34" s="46">
        <f t="shared" si="165"/>
        <v>0.90345617609315076</v>
      </c>
      <c r="AH34" s="46">
        <f t="shared" si="165"/>
        <v>0.88071288344342913</v>
      </c>
      <c r="AI34" s="46">
        <f t="shared" si="165"/>
        <v>0.87215748465834653</v>
      </c>
      <c r="AJ34" s="67">
        <f t="shared" si="165"/>
        <v>0.87464623983161727</v>
      </c>
      <c r="AK34" s="46">
        <f t="shared" si="165"/>
        <v>0.93791416405831429</v>
      </c>
      <c r="AL34" s="46">
        <f t="shared" si="165"/>
        <v>0.93724839597790344</v>
      </c>
      <c r="AM34" s="46">
        <f t="shared" si="165"/>
        <v>0.95323318927459455</v>
      </c>
      <c r="AN34" s="46">
        <f t="shared" si="165"/>
        <v>0.92812569712828363</v>
      </c>
      <c r="AO34" s="67">
        <f t="shared" si="165"/>
        <v>0.93930565371570007</v>
      </c>
      <c r="AP34" s="46">
        <f t="shared" si="165"/>
        <v>0.95397332551663494</v>
      </c>
      <c r="AQ34" s="46">
        <f t="shared" si="165"/>
        <v>0.9639289504901043</v>
      </c>
      <c r="AR34" s="46">
        <f t="shared" si="165"/>
        <v>0.96312064552644361</v>
      </c>
      <c r="AS34" s="46">
        <f t="shared" si="165"/>
        <v>0.92087347277268305</v>
      </c>
      <c r="AT34" s="67">
        <f t="shared" si="165"/>
        <v>0.94991374741502044</v>
      </c>
      <c r="AU34" s="46">
        <f t="shared" si="165"/>
        <v>0.96503317249698428</v>
      </c>
      <c r="AV34" s="46">
        <f t="shared" si="165"/>
        <v>0.95469894274851363</v>
      </c>
      <c r="AW34" s="46">
        <f t="shared" si="165"/>
        <v>0.91899515892601247</v>
      </c>
      <c r="AX34" s="46">
        <f t="shared" si="165"/>
        <v>0.93474372389614802</v>
      </c>
      <c r="AY34" s="67">
        <f t="shared" si="165"/>
        <v>0.94238098672421544</v>
      </c>
      <c r="AZ34" s="46">
        <f t="shared" si="165"/>
        <v>0.95637593607658455</v>
      </c>
      <c r="BA34" s="46">
        <f t="shared" si="165"/>
        <v>0.94568154216791211</v>
      </c>
      <c r="BB34" s="46">
        <f t="shared" si="165"/>
        <v>0.92587691764060187</v>
      </c>
      <c r="BC34" s="46">
        <f t="shared" si="165"/>
        <v>0.92301898108317482</v>
      </c>
      <c r="BD34" s="67">
        <f t="shared" si="165"/>
        <v>0.93633897947967204</v>
      </c>
      <c r="BE34" s="46">
        <f t="shared" ref="BE34:BF34" si="166">BE26/BE$31</f>
        <v>0.92403252100781541</v>
      </c>
      <c r="BF34" s="46">
        <f t="shared" si="166"/>
        <v>0.95584950713777128</v>
      </c>
      <c r="BG34" s="46">
        <f t="shared" ref="BG34:BH34" si="167">BG26/BG$31</f>
        <v>0.9544337327916661</v>
      </c>
      <c r="BH34" s="46">
        <f t="shared" si="167"/>
        <v>0.94358477240309646</v>
      </c>
      <c r="BI34" s="67">
        <f>BI26/BI$31</f>
        <v>0.94585662887566013</v>
      </c>
      <c r="BJ34" s="46">
        <f t="shared" ref="BJ34:BK34" si="168">BJ26/BJ$31</f>
        <v>0.94261721094635753</v>
      </c>
      <c r="BK34" s="46">
        <f t="shared" si="168"/>
        <v>0.947748257429046</v>
      </c>
      <c r="BL34" s="46">
        <f t="shared" ref="BL34:BM34" si="169">BL26/BL$31</f>
        <v>0.93868880245603992</v>
      </c>
      <c r="BM34" s="46">
        <f t="shared" si="169"/>
        <v>0.93541604176324267</v>
      </c>
      <c r="BN34" s="67">
        <f>BN26/BN$31</f>
        <v>0.94148399108416203</v>
      </c>
      <c r="BO34" s="46">
        <f t="shared" ref="BO34:BP34" si="170">BO26/BO$31</f>
        <v>0.95568280288337926</v>
      </c>
      <c r="BP34" s="46">
        <f t="shared" si="170"/>
        <v>0.95002872702181884</v>
      </c>
      <c r="BQ34" s="46">
        <f t="shared" ref="BQ34:BR34" si="171">BQ26/BQ$31</f>
        <v>0.93049116176193569</v>
      </c>
      <c r="BR34" s="46">
        <f t="shared" si="171"/>
        <v>0.90101328323989738</v>
      </c>
      <c r="BS34" s="67">
        <f>BS26/BS$31</f>
        <v>0.93505915573098952</v>
      </c>
      <c r="BT34" s="46">
        <f t="shared" ref="BT34:BW34" si="172">BT26/BT$31</f>
        <v>0.87494884489772995</v>
      </c>
      <c r="BU34" s="46">
        <f t="shared" si="172"/>
        <v>0.916659638137586</v>
      </c>
      <c r="BV34" s="46">
        <f t="shared" si="172"/>
        <v>0.91077468039605458</v>
      </c>
      <c r="BW34" s="46">
        <f t="shared" si="172"/>
        <v>0.89911178445177198</v>
      </c>
      <c r="BX34" s="67">
        <f>BX26/BX$31</f>
        <v>0.90152108228035754</v>
      </c>
      <c r="BY34" s="46">
        <f t="shared" ref="BY34" si="173">BY26/BY$31</f>
        <v>0.91798255132601236</v>
      </c>
      <c r="BZ34" s="46">
        <f>BZ26/BZ$31</f>
        <v>0.93002975854145475</v>
      </c>
      <c r="CA34" s="46">
        <f>CA26/CA$31</f>
        <v>0.91268627192404062</v>
      </c>
      <c r="CB34" s="46">
        <f>CB26/CB$31</f>
        <v>0.86829534635508843</v>
      </c>
      <c r="CC34" s="67">
        <f>CC26/CC$31</f>
        <v>0.90727653573922207</v>
      </c>
      <c r="CD34" s="46">
        <f t="shared" ref="CD34:CE34" si="174">CD26/CD$31</f>
        <v>0.91616821495274059</v>
      </c>
      <c r="CE34" s="46">
        <f t="shared" si="174"/>
        <v>0.91070571291406621</v>
      </c>
      <c r="CF34" s="46">
        <f t="shared" ref="CF34:CL34" si="175">CF26/CF$31</f>
        <v>0.89553188197337585</v>
      </c>
      <c r="CG34" s="46">
        <f t="shared" si="175"/>
        <v>0.88863970929936231</v>
      </c>
      <c r="CH34" s="67">
        <f t="shared" si="175"/>
        <v>0.90326655926667676</v>
      </c>
      <c r="CI34" s="46">
        <f t="shared" si="175"/>
        <v>0.90147591697534957</v>
      </c>
      <c r="CJ34" s="46">
        <f t="shared" si="175"/>
        <v>0.92414941274402818</v>
      </c>
      <c r="CK34" s="46">
        <f t="shared" si="175"/>
        <v>0.87997717326750746</v>
      </c>
      <c r="CL34" s="46">
        <f t="shared" si="175"/>
        <v>0.87129842451981143</v>
      </c>
      <c r="CM34" s="67">
        <f>CM26/CM$31</f>
        <v>0.89542417155298226</v>
      </c>
      <c r="CN34" s="46">
        <f t="shared" ref="CN34:CO34" si="176">CN26/CN$31</f>
        <v>0.89824172946204306</v>
      </c>
      <c r="CO34" s="46">
        <f t="shared" si="176"/>
        <v>0.876294901899901</v>
      </c>
      <c r="CP34" s="46"/>
      <c r="CQ34" s="46"/>
      <c r="CR34" s="67">
        <f>CR26/CR$31</f>
        <v>0.88714696637326496</v>
      </c>
    </row>
    <row r="35" spans="1:96" s="30" customFormat="1" ht="11.15" customHeight="1" x14ac:dyDescent="0.2">
      <c r="A35" s="21" t="s">
        <v>143</v>
      </c>
      <c r="B35" s="8"/>
      <c r="C35" s="8"/>
      <c r="D35" s="8"/>
      <c r="E35" s="8"/>
      <c r="F35" s="67"/>
      <c r="G35" s="8"/>
      <c r="H35" s="8"/>
      <c r="I35" s="8"/>
      <c r="J35" s="8"/>
      <c r="K35" s="67"/>
      <c r="L35" s="8"/>
      <c r="M35" s="8"/>
      <c r="N35" s="8"/>
      <c r="O35" s="8"/>
      <c r="P35" s="67"/>
      <c r="Q35" s="8"/>
      <c r="R35" s="8"/>
      <c r="S35" s="8"/>
      <c r="T35" s="8"/>
      <c r="U35" s="67"/>
      <c r="V35" s="46"/>
      <c r="W35" s="46"/>
      <c r="X35" s="46"/>
      <c r="Y35" s="46"/>
      <c r="Z35" s="67"/>
      <c r="AA35" s="46"/>
      <c r="AB35" s="46"/>
      <c r="AC35" s="46"/>
      <c r="AD35" s="46"/>
      <c r="AE35" s="67"/>
      <c r="AF35" s="46"/>
      <c r="AG35" s="46"/>
      <c r="AH35" s="46"/>
      <c r="AI35" s="46"/>
      <c r="AJ35" s="67"/>
      <c r="AK35" s="46"/>
      <c r="AL35" s="46"/>
      <c r="AM35" s="46"/>
      <c r="AN35" s="46"/>
      <c r="AO35" s="67"/>
      <c r="AP35" s="46"/>
      <c r="AQ35" s="46"/>
      <c r="AR35" s="46"/>
      <c r="AS35" s="46"/>
      <c r="AT35" s="78">
        <v>0.5</v>
      </c>
      <c r="AU35" s="46"/>
      <c r="AV35" s="46"/>
      <c r="AW35" s="46"/>
      <c r="AX35" s="46"/>
      <c r="AY35" s="78">
        <v>0.5</v>
      </c>
      <c r="AZ35" s="46"/>
      <c r="BA35" s="46"/>
      <c r="BB35" s="46"/>
      <c r="BC35" s="46"/>
      <c r="BD35" s="78">
        <v>0.51</v>
      </c>
      <c r="BE35" s="46"/>
      <c r="BF35" s="46"/>
      <c r="BG35" s="46"/>
      <c r="BH35" s="46"/>
      <c r="BI35" s="78">
        <v>0.54</v>
      </c>
      <c r="BJ35" s="46"/>
      <c r="BK35" s="46"/>
      <c r="BL35" s="46"/>
      <c r="BM35" s="46"/>
      <c r="BN35" s="78">
        <v>0.56999999999999995</v>
      </c>
      <c r="BO35" s="46"/>
      <c r="BP35" s="46"/>
      <c r="BQ35" s="46"/>
      <c r="BR35" s="46"/>
      <c r="BS35" s="78">
        <v>0.49</v>
      </c>
      <c r="BT35" s="46"/>
      <c r="BU35" s="46"/>
      <c r="BV35" s="46"/>
      <c r="BW35" s="46"/>
      <c r="BX35" s="78">
        <v>0.48193090168931413</v>
      </c>
      <c r="BY35" s="46"/>
      <c r="BZ35" s="46"/>
      <c r="CA35" s="46"/>
      <c r="CB35" s="46"/>
      <c r="CC35" s="78">
        <v>0.43057884588686268</v>
      </c>
      <c r="CD35" s="46"/>
      <c r="CE35" s="46"/>
      <c r="CF35" s="46"/>
      <c r="CG35" s="46"/>
      <c r="CH35" s="78">
        <v>0.34554343699529566</v>
      </c>
      <c r="CI35" s="46"/>
      <c r="CJ35" s="46"/>
      <c r="CK35" s="46"/>
      <c r="CL35" s="46"/>
      <c r="CM35" s="67">
        <v>0.27606355295468243</v>
      </c>
      <c r="CN35" s="46"/>
      <c r="CO35" s="46"/>
      <c r="CP35" s="46"/>
      <c r="CQ35" s="46"/>
      <c r="CR35" s="67"/>
    </row>
    <row r="36" spans="1:96" s="30" customFormat="1" ht="11.15" customHeight="1" x14ac:dyDescent="0.2">
      <c r="A36" s="21" t="s">
        <v>147</v>
      </c>
      <c r="B36" s="8"/>
      <c r="C36" s="8"/>
      <c r="D36" s="8"/>
      <c r="E36" s="8"/>
      <c r="F36" s="67"/>
      <c r="G36" s="8"/>
      <c r="H36" s="8"/>
      <c r="I36" s="8"/>
      <c r="J36" s="8"/>
      <c r="K36" s="67"/>
      <c r="L36" s="8"/>
      <c r="M36" s="8"/>
      <c r="N36" s="8"/>
      <c r="O36" s="8"/>
      <c r="P36" s="67"/>
      <c r="Q36" s="8"/>
      <c r="R36" s="8"/>
      <c r="S36" s="8"/>
      <c r="T36" s="8"/>
      <c r="U36" s="67"/>
      <c r="V36" s="46"/>
      <c r="W36" s="46"/>
      <c r="X36" s="46"/>
      <c r="Y36" s="46"/>
      <c r="Z36" s="67"/>
      <c r="AA36" s="46"/>
      <c r="AB36" s="46"/>
      <c r="AC36" s="46"/>
      <c r="AD36" s="46"/>
      <c r="AE36" s="67"/>
      <c r="AF36" s="46"/>
      <c r="AG36" s="46"/>
      <c r="AH36" s="46"/>
      <c r="AI36" s="46"/>
      <c r="AJ36" s="67"/>
      <c r="AK36" s="46"/>
      <c r="AL36" s="46"/>
      <c r="AM36" s="46"/>
      <c r="AN36" s="46"/>
      <c r="AO36" s="67"/>
      <c r="AP36" s="46"/>
      <c r="AQ36" s="46"/>
      <c r="AR36" s="46"/>
      <c r="AS36" s="46"/>
      <c r="AT36" s="78">
        <v>0.18</v>
      </c>
      <c r="AU36" s="46"/>
      <c r="AV36" s="46"/>
      <c r="AW36" s="46"/>
      <c r="AX36" s="46"/>
      <c r="AY36" s="78">
        <v>0.18</v>
      </c>
      <c r="AZ36" s="46"/>
      <c r="BA36" s="46"/>
      <c r="BB36" s="46"/>
      <c r="BC36" s="46"/>
      <c r="BD36" s="78">
        <v>0.18</v>
      </c>
      <c r="BE36" s="46"/>
      <c r="BF36" s="46"/>
      <c r="BG36" s="46"/>
      <c r="BH36" s="46"/>
      <c r="BI36" s="78">
        <v>0.2</v>
      </c>
      <c r="BJ36" s="46"/>
      <c r="BK36" s="46"/>
      <c r="BL36" s="46"/>
      <c r="BM36" s="46"/>
      <c r="BN36" s="78">
        <v>0.15</v>
      </c>
      <c r="BO36" s="46"/>
      <c r="BP36" s="46"/>
      <c r="BQ36" s="46"/>
      <c r="BR36" s="46"/>
      <c r="BS36" s="78">
        <v>0.17</v>
      </c>
      <c r="BT36" s="46"/>
      <c r="BU36" s="46"/>
      <c r="BV36" s="46"/>
      <c r="BW36" s="46"/>
      <c r="BX36" s="78">
        <v>0.15404122845882984</v>
      </c>
      <c r="BY36" s="46"/>
      <c r="BZ36" s="46"/>
      <c r="CA36" s="46"/>
      <c r="CB36" s="46"/>
      <c r="CC36" s="78">
        <v>0.20191792794824467</v>
      </c>
      <c r="CD36" s="46"/>
      <c r="CE36" s="46"/>
      <c r="CF36" s="46"/>
      <c r="CG36" s="46"/>
      <c r="CH36" s="78">
        <v>0.28703860363549616</v>
      </c>
      <c r="CI36" s="46"/>
      <c r="CJ36" s="46"/>
      <c r="CK36" s="46"/>
      <c r="CL36" s="46"/>
      <c r="CM36" s="67">
        <v>0.36134205002019254</v>
      </c>
      <c r="CN36" s="46"/>
      <c r="CO36" s="46"/>
      <c r="CP36" s="46"/>
      <c r="CQ36" s="46"/>
      <c r="CR36" s="67"/>
    </row>
    <row r="37" spans="1:96" s="30" customFormat="1" ht="11.15" customHeight="1" x14ac:dyDescent="0.2">
      <c r="A37" s="21" t="s">
        <v>148</v>
      </c>
      <c r="B37" s="8"/>
      <c r="C37" s="8"/>
      <c r="D37" s="8"/>
      <c r="E37" s="8"/>
      <c r="F37" s="67"/>
      <c r="G37" s="8"/>
      <c r="H37" s="8"/>
      <c r="I37" s="8"/>
      <c r="J37" s="8"/>
      <c r="K37" s="67"/>
      <c r="L37" s="8"/>
      <c r="M37" s="8"/>
      <c r="N37" s="8"/>
      <c r="O37" s="8"/>
      <c r="P37" s="67"/>
      <c r="Q37" s="8"/>
      <c r="R37" s="8"/>
      <c r="S37" s="8"/>
      <c r="T37" s="8"/>
      <c r="U37" s="67"/>
      <c r="V37" s="46"/>
      <c r="W37" s="46"/>
      <c r="X37" s="46"/>
      <c r="Y37" s="46"/>
      <c r="Z37" s="67"/>
      <c r="AA37" s="46"/>
      <c r="AB37" s="46"/>
      <c r="AC37" s="46"/>
      <c r="AD37" s="46"/>
      <c r="AE37" s="67"/>
      <c r="AF37" s="46"/>
      <c r="AG37" s="46"/>
      <c r="AH37" s="46"/>
      <c r="AI37" s="46"/>
      <c r="AJ37" s="67"/>
      <c r="AK37" s="46"/>
      <c r="AL37" s="46"/>
      <c r="AM37" s="46"/>
      <c r="AN37" s="46"/>
      <c r="AO37" s="67"/>
      <c r="AP37" s="46"/>
      <c r="AQ37" s="46"/>
      <c r="AR37" s="46"/>
      <c r="AS37" s="46"/>
      <c r="AT37" s="78">
        <v>0.15</v>
      </c>
      <c r="AU37" s="46"/>
      <c r="AV37" s="46"/>
      <c r="AW37" s="46"/>
      <c r="AX37" s="46"/>
      <c r="AY37" s="78">
        <v>0.15</v>
      </c>
      <c r="AZ37" s="46"/>
      <c r="BA37" s="46"/>
      <c r="BB37" s="46"/>
      <c r="BC37" s="46"/>
      <c r="BD37" s="78">
        <v>0.11</v>
      </c>
      <c r="BE37" s="46"/>
      <c r="BF37" s="46"/>
      <c r="BG37" s="46"/>
      <c r="BH37" s="46"/>
      <c r="BI37" s="78">
        <v>0.09</v>
      </c>
      <c r="BJ37" s="46"/>
      <c r="BK37" s="46"/>
      <c r="BL37" s="46"/>
      <c r="BM37" s="46"/>
      <c r="BN37" s="78">
        <v>0.09</v>
      </c>
      <c r="BO37" s="46"/>
      <c r="BP37" s="46"/>
      <c r="BQ37" s="46"/>
      <c r="BR37" s="46"/>
      <c r="BS37" s="78">
        <v>0.08</v>
      </c>
      <c r="BT37" s="46"/>
      <c r="BU37" s="46"/>
      <c r="BV37" s="46"/>
      <c r="BW37" s="46"/>
      <c r="BX37" s="78">
        <v>6.9752915740836363E-2</v>
      </c>
      <c r="BY37" s="46"/>
      <c r="BZ37" s="46"/>
      <c r="CA37" s="46"/>
      <c r="CB37" s="46"/>
      <c r="CC37" s="78">
        <v>7.0126470772727406E-2</v>
      </c>
      <c r="CD37" s="46"/>
      <c r="CE37" s="46"/>
      <c r="CF37" s="46"/>
      <c r="CG37" s="46"/>
      <c r="CH37" s="78">
        <v>6.709000330920234E-2</v>
      </c>
      <c r="CI37" s="46"/>
      <c r="CJ37" s="46"/>
      <c r="CK37" s="46"/>
      <c r="CL37" s="46"/>
      <c r="CM37" s="67">
        <v>5.6163023324629469E-2</v>
      </c>
      <c r="CN37" s="46"/>
      <c r="CO37" s="46"/>
      <c r="CP37" s="46"/>
      <c r="CQ37" s="46"/>
      <c r="CR37" s="67"/>
    </row>
    <row r="38" spans="1:96" s="30" customFormat="1" ht="11.15" customHeight="1" x14ac:dyDescent="0.2">
      <c r="A38" s="21" t="s">
        <v>149</v>
      </c>
      <c r="B38" s="8"/>
      <c r="C38" s="8"/>
      <c r="D38" s="8"/>
      <c r="E38" s="8"/>
      <c r="F38" s="67"/>
      <c r="G38" s="8"/>
      <c r="H38" s="8"/>
      <c r="I38" s="8"/>
      <c r="J38" s="8"/>
      <c r="K38" s="67"/>
      <c r="L38" s="8"/>
      <c r="M38" s="8"/>
      <c r="N38" s="8"/>
      <c r="O38" s="8"/>
      <c r="P38" s="67"/>
      <c r="Q38" s="8"/>
      <c r="R38" s="8"/>
      <c r="S38" s="8"/>
      <c r="T38" s="8"/>
      <c r="U38" s="67"/>
      <c r="V38" s="46"/>
      <c r="W38" s="46"/>
      <c r="X38" s="46"/>
      <c r="Y38" s="46"/>
      <c r="Z38" s="67"/>
      <c r="AA38" s="46"/>
      <c r="AB38" s="46"/>
      <c r="AC38" s="46"/>
      <c r="AD38" s="46"/>
      <c r="AE38" s="67"/>
      <c r="AF38" s="46"/>
      <c r="AG38" s="46"/>
      <c r="AH38" s="46"/>
      <c r="AI38" s="46"/>
      <c r="AJ38" s="67"/>
      <c r="AK38" s="46"/>
      <c r="AL38" s="46"/>
      <c r="AM38" s="46"/>
      <c r="AN38" s="46"/>
      <c r="AO38" s="67"/>
      <c r="AP38" s="46"/>
      <c r="AQ38" s="46"/>
      <c r="AR38" s="46"/>
      <c r="AS38" s="46"/>
      <c r="AT38" s="67">
        <f>AT34-AT35-AT36-AT37</f>
        <v>0.11991374741502045</v>
      </c>
      <c r="AU38" s="46"/>
      <c r="AV38" s="46"/>
      <c r="AW38" s="46"/>
      <c r="AX38" s="46"/>
      <c r="AY38" s="67">
        <f>AY34-AY35-AY36-AY37</f>
        <v>0.11238098672421545</v>
      </c>
      <c r="AZ38" s="46"/>
      <c r="BA38" s="46"/>
      <c r="BB38" s="46"/>
      <c r="BC38" s="46"/>
      <c r="BD38" s="67">
        <f>BD34-BD35-BD36-BD37</f>
        <v>0.13633897947967205</v>
      </c>
      <c r="BE38" s="46"/>
      <c r="BF38" s="46"/>
      <c r="BG38" s="46"/>
      <c r="BH38" s="46"/>
      <c r="BI38" s="67">
        <f>BI34-BI35-BI36-BI37</f>
        <v>0.11585662887566009</v>
      </c>
      <c r="BJ38" s="46"/>
      <c r="BK38" s="46"/>
      <c r="BL38" s="46"/>
      <c r="BM38" s="46"/>
      <c r="BN38" s="67">
        <f>BN34-BN35-BN36-BN37</f>
        <v>0.13148399108416209</v>
      </c>
      <c r="BO38" s="46"/>
      <c r="BP38" s="46"/>
      <c r="BQ38" s="46"/>
      <c r="BR38" s="46"/>
      <c r="BS38" s="67">
        <f>BS34-BS35-BS36-BS37</f>
        <v>0.19505915573098948</v>
      </c>
      <c r="BT38" s="46"/>
      <c r="BU38" s="46"/>
      <c r="BV38" s="46"/>
      <c r="BW38" s="46"/>
      <c r="BX38" s="67">
        <f>BX34-BX35-BX36-BX37</f>
        <v>0.19579603639137722</v>
      </c>
      <c r="BY38" s="46"/>
      <c r="BZ38" s="46"/>
      <c r="CA38" s="46"/>
      <c r="CB38" s="46"/>
      <c r="CC38" s="67">
        <f>CC34-CC35-CC36-CC37</f>
        <v>0.20465329113138728</v>
      </c>
      <c r="CD38" s="46"/>
      <c r="CE38" s="46"/>
      <c r="CF38" s="46"/>
      <c r="CG38" s="46"/>
      <c r="CH38" s="67">
        <f>CH34-CH35-CH36-CH37</f>
        <v>0.2035945153266826</v>
      </c>
      <c r="CI38" s="46"/>
      <c r="CJ38" s="46"/>
      <c r="CK38" s="46"/>
      <c r="CL38" s="46"/>
      <c r="CM38" s="67">
        <f>CM34-CM35-CM36-CM37</f>
        <v>0.20185554525347782</v>
      </c>
      <c r="CN38" s="46"/>
      <c r="CO38" s="46"/>
      <c r="CP38" s="46"/>
      <c r="CQ38" s="46"/>
      <c r="CR38" s="67"/>
    </row>
    <row r="39" spans="1:96" ht="11.15" customHeight="1" x14ac:dyDescent="0.2">
      <c r="A39" s="7" t="s">
        <v>108</v>
      </c>
      <c r="B39" s="11"/>
      <c r="C39" s="11"/>
      <c r="D39" s="11"/>
      <c r="E39" s="11"/>
      <c r="F39" s="67">
        <f>F27/F$31</f>
        <v>0.31855472159190085</v>
      </c>
      <c r="G39" s="11"/>
      <c r="H39" s="11"/>
      <c r="I39" s="11"/>
      <c r="J39" s="11"/>
      <c r="K39" s="67">
        <f>K27/K$31</f>
        <v>0.2577579673198111</v>
      </c>
      <c r="L39" s="11"/>
      <c r="M39" s="11"/>
      <c r="N39" s="11"/>
      <c r="O39" s="11"/>
      <c r="P39" s="67">
        <f>P27/P$31</f>
        <v>0.18053397125844697</v>
      </c>
      <c r="Q39" s="11"/>
      <c r="R39" s="11"/>
      <c r="S39" s="11"/>
      <c r="T39" s="11"/>
      <c r="U39" s="67">
        <f t="shared" ref="U39:BG39" si="177">U27/U$31</f>
        <v>0.24223482199533067</v>
      </c>
      <c r="V39" s="46">
        <f t="shared" si="177"/>
        <v>0.16529958596984612</v>
      </c>
      <c r="W39" s="46">
        <f t="shared" si="177"/>
        <v>0.14857712093728628</v>
      </c>
      <c r="X39" s="46">
        <f t="shared" si="177"/>
        <v>0.15372952925108696</v>
      </c>
      <c r="Y39" s="46">
        <f t="shared" si="177"/>
        <v>0.16354904193692132</v>
      </c>
      <c r="Z39" s="67">
        <f t="shared" si="177"/>
        <v>0.15786483813190044</v>
      </c>
      <c r="AA39" s="46">
        <f t="shared" si="177"/>
        <v>0.13566698013165529</v>
      </c>
      <c r="AB39" s="46">
        <f t="shared" si="177"/>
        <v>0.11510956567379609</v>
      </c>
      <c r="AC39" s="46">
        <f t="shared" si="177"/>
        <v>0.11445484410834934</v>
      </c>
      <c r="AD39" s="46">
        <f t="shared" si="177"/>
        <v>0.10257116026035426</v>
      </c>
      <c r="AE39" s="67">
        <f t="shared" si="177"/>
        <v>0.11599807790390362</v>
      </c>
      <c r="AF39" s="42">
        <f t="shared" si="177"/>
        <v>0.1623806740697448</v>
      </c>
      <c r="AG39" s="42">
        <f t="shared" si="177"/>
        <v>9.6543823906849277E-2</v>
      </c>
      <c r="AH39" s="42">
        <f t="shared" si="177"/>
        <v>0.1192871165565709</v>
      </c>
      <c r="AI39" s="42">
        <f t="shared" si="177"/>
        <v>0.12784251534165345</v>
      </c>
      <c r="AJ39" s="67">
        <f t="shared" si="177"/>
        <v>0.12535376016838273</v>
      </c>
      <c r="AK39" s="42">
        <f t="shared" si="177"/>
        <v>6.2085835941685701E-2</v>
      </c>
      <c r="AL39" s="42">
        <f t="shared" si="177"/>
        <v>6.2751604022096563E-2</v>
      </c>
      <c r="AM39" s="42">
        <f t="shared" si="177"/>
        <v>4.6766810725405457E-2</v>
      </c>
      <c r="AN39" s="42">
        <f t="shared" si="177"/>
        <v>7.1874302871716339E-2</v>
      </c>
      <c r="AO39" s="67">
        <f t="shared" si="177"/>
        <v>6.0694346284299899E-2</v>
      </c>
      <c r="AP39" s="42">
        <f t="shared" si="177"/>
        <v>4.6026674483365088E-2</v>
      </c>
      <c r="AQ39" s="42">
        <f t="shared" si="177"/>
        <v>3.6071049509895738E-2</v>
      </c>
      <c r="AR39" s="42">
        <f t="shared" si="177"/>
        <v>3.6879354473556357E-2</v>
      </c>
      <c r="AS39" s="42">
        <f t="shared" si="177"/>
        <v>7.9126527227317001E-2</v>
      </c>
      <c r="AT39" s="67">
        <f t="shared" si="177"/>
        <v>5.0086252584979583E-2</v>
      </c>
      <c r="AU39" s="42">
        <f t="shared" si="177"/>
        <v>3.4966827503015684E-2</v>
      </c>
      <c r="AV39" s="42">
        <f t="shared" si="177"/>
        <v>4.5301057251486358E-2</v>
      </c>
      <c r="AW39" s="42">
        <f t="shared" si="177"/>
        <v>8.1004841073987546E-2</v>
      </c>
      <c r="AX39" s="42">
        <f t="shared" si="177"/>
        <v>6.5256276103851971E-2</v>
      </c>
      <c r="AY39" s="67">
        <f t="shared" si="177"/>
        <v>5.7619013275784593E-2</v>
      </c>
      <c r="AZ39" s="42">
        <f t="shared" si="177"/>
        <v>4.3624063923415425E-2</v>
      </c>
      <c r="BA39" s="42">
        <f t="shared" si="177"/>
        <v>5.4318457832087885E-2</v>
      </c>
      <c r="BB39" s="42">
        <f t="shared" si="177"/>
        <v>7.4123082359398088E-2</v>
      </c>
      <c r="BC39" s="42">
        <f t="shared" si="177"/>
        <v>7.6981018916825225E-2</v>
      </c>
      <c r="BD39" s="67">
        <f t="shared" si="177"/>
        <v>6.3661020520328016E-2</v>
      </c>
      <c r="BE39" s="42">
        <f t="shared" si="177"/>
        <v>7.5967478992184603E-2</v>
      </c>
      <c r="BF39" s="42">
        <f t="shared" si="177"/>
        <v>4.4150492862228698E-2</v>
      </c>
      <c r="BG39" s="42">
        <f t="shared" si="177"/>
        <v>4.5566267208333865E-2</v>
      </c>
      <c r="BH39" s="42">
        <f t="shared" ref="BH39" si="178">BH27/BH$31</f>
        <v>5.6415227596903518E-2</v>
      </c>
      <c r="BI39" s="67">
        <f>BI27/BI$31</f>
        <v>5.4143371124339819E-2</v>
      </c>
      <c r="BJ39" s="42">
        <f t="shared" ref="BJ39:BK39" si="179">BJ27/BJ$31</f>
        <v>5.738278905364249E-2</v>
      </c>
      <c r="BK39" s="42">
        <f t="shared" si="179"/>
        <v>5.225174257095401E-2</v>
      </c>
      <c r="BL39" s="42">
        <f t="shared" ref="BL39:BM39" si="180">BL27/BL$31</f>
        <v>6.1311197543960083E-2</v>
      </c>
      <c r="BM39" s="42">
        <f t="shared" si="180"/>
        <v>6.4583958236757347E-2</v>
      </c>
      <c r="BN39" s="67">
        <f>BN27/BN$31</f>
        <v>5.8516008915837942E-2</v>
      </c>
      <c r="BO39" s="42">
        <f t="shared" ref="BO39:BP39" si="181">BO27/BO$31</f>
        <v>4.4317197116620695E-2</v>
      </c>
      <c r="BP39" s="42">
        <f t="shared" si="181"/>
        <v>4.9971272978181207E-2</v>
      </c>
      <c r="BQ39" s="42">
        <f t="shared" ref="BQ39:BR39" si="182">BQ27/BQ$31</f>
        <v>6.950883823806428E-2</v>
      </c>
      <c r="BR39" s="42">
        <f t="shared" si="182"/>
        <v>9.8986716760102664E-2</v>
      </c>
      <c r="BS39" s="67">
        <f>BS27/BS$31</f>
        <v>6.4940844269010436E-2</v>
      </c>
      <c r="BT39" s="42">
        <f t="shared" ref="BT39:BW39" si="183">BT27/BT$31</f>
        <v>0.12505115510227008</v>
      </c>
      <c r="BU39" s="42">
        <f t="shared" si="183"/>
        <v>8.3340361862414017E-2</v>
      </c>
      <c r="BV39" s="42">
        <f t="shared" si="183"/>
        <v>8.9225319603945474E-2</v>
      </c>
      <c r="BW39" s="42">
        <f t="shared" si="183"/>
        <v>0.10088821554822802</v>
      </c>
      <c r="BX39" s="67">
        <f>BX27/BX$31</f>
        <v>9.8478917719642484E-2</v>
      </c>
      <c r="BY39" s="42">
        <f t="shared" ref="BY39:BZ39" si="184">BY27/BY$31</f>
        <v>8.2017448673987581E-2</v>
      </c>
      <c r="BZ39" s="42">
        <f t="shared" si="184"/>
        <v>6.9970241458545218E-2</v>
      </c>
      <c r="CA39" s="42">
        <f t="shared" ref="CA39:CB39" si="185">CA27/CA$31</f>
        <v>8.7313728075959385E-2</v>
      </c>
      <c r="CB39" s="42">
        <f t="shared" si="185"/>
        <v>0.1317046536449116</v>
      </c>
      <c r="CC39" s="67">
        <f>CC27/CC$31</f>
        <v>9.2723464260777905E-2</v>
      </c>
      <c r="CD39" s="42">
        <f t="shared" ref="CD39:CE39" si="186">CD27/CD$31</f>
        <v>8.3831785047259438E-2</v>
      </c>
      <c r="CE39" s="42">
        <f t="shared" si="186"/>
        <v>8.9294287085933746E-2</v>
      </c>
      <c r="CF39" s="42">
        <f t="shared" ref="CF39:CL39" si="187">CF27/CF$31</f>
        <v>0.10446811802662419</v>
      </c>
      <c r="CG39" s="42">
        <f t="shared" si="187"/>
        <v>0.1113602907006377</v>
      </c>
      <c r="CH39" s="67">
        <f t="shared" si="187"/>
        <v>9.6733440733323212E-2</v>
      </c>
      <c r="CI39" s="42">
        <f t="shared" si="187"/>
        <v>9.8524083024650461E-2</v>
      </c>
      <c r="CJ39" s="42">
        <f t="shared" si="187"/>
        <v>7.5850587255971838E-2</v>
      </c>
      <c r="CK39" s="42">
        <f t="shared" si="187"/>
        <v>0.12002282673249259</v>
      </c>
      <c r="CL39" s="42">
        <f t="shared" si="187"/>
        <v>0.12870157548018857</v>
      </c>
      <c r="CM39" s="67">
        <f>CM27/CM$31</f>
        <v>0.10457582844701768</v>
      </c>
      <c r="CN39" s="42">
        <f t="shared" ref="CN39:CO39" si="188">CN27/CN$31</f>
        <v>0.10175827053795698</v>
      </c>
      <c r="CO39" s="42">
        <f t="shared" si="188"/>
        <v>0.12370509810009897</v>
      </c>
      <c r="CP39" s="42"/>
      <c r="CQ39" s="42"/>
      <c r="CR39" s="67">
        <f>CR27/CR$31</f>
        <v>0.112853033626735</v>
      </c>
    </row>
    <row r="40" spans="1:96" ht="11.15" customHeight="1" x14ac:dyDescent="0.2">
      <c r="A40" s="21" t="s">
        <v>105</v>
      </c>
      <c r="B40" s="11"/>
      <c r="C40" s="11"/>
      <c r="D40" s="11"/>
      <c r="E40" s="11"/>
      <c r="F40" s="67">
        <f>F28/F$31</f>
        <v>0.13422237737825099</v>
      </c>
      <c r="G40" s="11"/>
      <c r="H40" s="11"/>
      <c r="I40" s="11"/>
      <c r="J40" s="11"/>
      <c r="K40" s="67">
        <f>K28/K$31</f>
        <v>0.13275067973308882</v>
      </c>
      <c r="L40" s="11"/>
      <c r="M40" s="11"/>
      <c r="N40" s="11"/>
      <c r="O40" s="11"/>
      <c r="P40" s="67">
        <f>P28/P$31</f>
        <v>0.10769351656218897</v>
      </c>
      <c r="Q40" s="11"/>
      <c r="R40" s="11"/>
      <c r="S40" s="11"/>
      <c r="T40" s="11"/>
      <c r="U40" s="67">
        <f t="shared" ref="U40:AE40" si="189">U28/U$31</f>
        <v>0.1428609852926937</v>
      </c>
      <c r="V40" s="46">
        <f t="shared" si="189"/>
        <v>9.1477228341535821E-2</v>
      </c>
      <c r="W40" s="46">
        <f t="shared" si="189"/>
        <v>8.0020220642897502E-2</v>
      </c>
      <c r="X40" s="46">
        <f t="shared" si="189"/>
        <v>7.1220037840343822E-2</v>
      </c>
      <c r="Y40" s="46">
        <f t="shared" si="189"/>
        <v>9.3538644353121744E-2</v>
      </c>
      <c r="Z40" s="67">
        <f t="shared" si="189"/>
        <v>8.4195471435827521E-2</v>
      </c>
      <c r="AA40" s="46">
        <f t="shared" si="189"/>
        <v>8.2354588927349481E-2</v>
      </c>
      <c r="AB40" s="46">
        <f t="shared" si="189"/>
        <v>5.1280999868783622E-2</v>
      </c>
      <c r="AC40" s="46">
        <f t="shared" si="189"/>
        <v>3.8872187441889298E-2</v>
      </c>
      <c r="AD40" s="46">
        <f t="shared" si="189"/>
        <v>5.1941323143680579E-2</v>
      </c>
      <c r="AE40" s="67">
        <f t="shared" si="189"/>
        <v>5.4623779194995808E-2</v>
      </c>
      <c r="AF40" s="48"/>
      <c r="AG40" s="48"/>
      <c r="AH40" s="11"/>
      <c r="AI40" s="11"/>
      <c r="AJ40" s="67">
        <f>AJ28/AJ$31</f>
        <v>7.6533079242277716E-2</v>
      </c>
      <c r="AK40" s="48"/>
      <c r="AL40" s="48"/>
      <c r="AM40" s="48"/>
      <c r="AN40" s="48"/>
      <c r="AO40" s="67">
        <f>AO28/AO$31</f>
        <v>4.0414546150356306E-2</v>
      </c>
      <c r="AP40" s="48"/>
      <c r="AQ40" s="48"/>
      <c r="AR40" s="48"/>
      <c r="AS40" s="48"/>
      <c r="AT40" s="67">
        <f>AT28/AT$31</f>
        <v>3.3389103077034993E-2</v>
      </c>
      <c r="AU40" s="48"/>
      <c r="AV40" s="48"/>
      <c r="AW40" s="48"/>
      <c r="AX40" s="48"/>
      <c r="AY40" s="67">
        <f>AY28/AY$31</f>
        <v>3.2028315756187135E-2</v>
      </c>
      <c r="AZ40" s="48"/>
      <c r="BA40" s="48"/>
      <c r="BB40" s="48"/>
      <c r="BC40" s="48"/>
      <c r="BD40" s="67">
        <f>BD28/BD$31</f>
        <v>2.7993197988815045E-2</v>
      </c>
      <c r="BE40" s="48"/>
      <c r="BF40" s="48"/>
      <c r="BG40" s="48"/>
      <c r="BH40" s="48"/>
      <c r="BI40" s="67">
        <f>BI28/BI$31</f>
        <v>2.6145423805565945E-2</v>
      </c>
      <c r="BJ40" s="48"/>
      <c r="BK40" s="48"/>
      <c r="BL40" s="48"/>
      <c r="BM40" s="48"/>
      <c r="BN40" s="67">
        <f>BN28/BN$31</f>
        <v>2.9775857368512626E-2</v>
      </c>
      <c r="BO40" s="48"/>
      <c r="BP40" s="48"/>
      <c r="BQ40" s="48"/>
      <c r="BR40" s="48"/>
      <c r="BS40" s="67">
        <f>BS28/BS$31</f>
        <v>3.1020530496028771E-2</v>
      </c>
      <c r="BT40" s="48"/>
      <c r="BU40" s="48"/>
      <c r="BV40" s="48"/>
      <c r="BW40" s="48"/>
      <c r="BX40" s="67">
        <f>BX28/BX$31</f>
        <v>5.3183745806696624E-2</v>
      </c>
      <c r="BY40" s="48"/>
      <c r="BZ40" s="48"/>
      <c r="CA40" s="48"/>
      <c r="CB40" s="48"/>
      <c r="CC40" s="67">
        <f>CC28/CC$31</f>
        <v>4.7408375888175459E-2</v>
      </c>
      <c r="CD40" s="48"/>
      <c r="CE40" s="42"/>
      <c r="CF40" s="42"/>
      <c r="CG40" s="42"/>
      <c r="CH40" s="67">
        <f>CH28/CH$31</f>
        <v>3.7989656863328031E-2</v>
      </c>
      <c r="CI40" s="42"/>
      <c r="CJ40" s="42"/>
      <c r="CK40" s="42"/>
      <c r="CL40" s="42"/>
      <c r="CM40" s="67">
        <f>CM28/CM$31</f>
        <v>4.3167870477746909E-2</v>
      </c>
      <c r="CN40" s="42"/>
      <c r="CO40" s="42"/>
      <c r="CP40" s="42"/>
      <c r="CQ40" s="42"/>
      <c r="CR40" s="67"/>
    </row>
    <row r="41" spans="1:96" ht="11.15" customHeight="1" x14ac:dyDescent="0.2">
      <c r="A41" s="21" t="s">
        <v>106</v>
      </c>
      <c r="B41" s="11"/>
      <c r="C41" s="11"/>
      <c r="D41" s="11"/>
      <c r="E41" s="11"/>
      <c r="F41" s="67">
        <f>F29/F$31</f>
        <v>0.10628032815500087</v>
      </c>
      <c r="G41" s="11"/>
      <c r="H41" s="11"/>
      <c r="I41" s="11"/>
      <c r="J41" s="11"/>
      <c r="K41" s="67">
        <f>K29/K$31</f>
        <v>6.9229423830143577E-2</v>
      </c>
      <c r="L41" s="11"/>
      <c r="M41" s="11"/>
      <c r="N41" s="11"/>
      <c r="O41" s="11"/>
      <c r="P41" s="67">
        <f>P29/P$31</f>
        <v>5.6330650089926486E-2</v>
      </c>
      <c r="Q41" s="11"/>
      <c r="R41" s="11"/>
      <c r="S41" s="11"/>
      <c r="T41" s="11"/>
      <c r="U41" s="67">
        <f t="shared" ref="U41:AE41" si="190">U29/U$31</f>
        <v>5.8458045983194727E-2</v>
      </c>
      <c r="V41" s="46">
        <f t="shared" si="190"/>
        <v>3.6208108741504569E-2</v>
      </c>
      <c r="W41" s="46">
        <f t="shared" si="190"/>
        <v>3.1713699485563053E-2</v>
      </c>
      <c r="X41" s="46">
        <f t="shared" si="190"/>
        <v>6.523073838790111E-2</v>
      </c>
      <c r="Y41" s="46">
        <f t="shared" si="190"/>
        <v>4.7799178095756796E-2</v>
      </c>
      <c r="Z41" s="67">
        <f t="shared" si="190"/>
        <v>4.6849520143288692E-2</v>
      </c>
      <c r="AA41" s="46">
        <f t="shared" si="190"/>
        <v>3.2033454050701293E-2</v>
      </c>
      <c r="AB41" s="46">
        <f t="shared" si="190"/>
        <v>4.8107203779031625E-2</v>
      </c>
      <c r="AC41" s="46">
        <f t="shared" si="190"/>
        <v>5.6963986859232631E-2</v>
      </c>
      <c r="AD41" s="46">
        <f t="shared" si="190"/>
        <v>3.1961400213723651E-2</v>
      </c>
      <c r="AE41" s="67">
        <f t="shared" si="190"/>
        <v>4.2926812819032122E-2</v>
      </c>
      <c r="AF41" s="48"/>
      <c r="AG41" s="48"/>
      <c r="AH41" s="11"/>
      <c r="AI41" s="11"/>
      <c r="AJ41" s="67">
        <f>AJ29/AJ$31</f>
        <v>3.8586523693042836E-2</v>
      </c>
      <c r="AK41" s="48"/>
      <c r="AL41" s="48"/>
      <c r="AM41" s="48"/>
      <c r="AN41" s="48"/>
      <c r="AO41" s="67">
        <f>AO29/AO$31</f>
        <v>1.4096482591962767E-2</v>
      </c>
      <c r="AP41" s="48"/>
      <c r="AQ41" s="48"/>
      <c r="AR41" s="48"/>
      <c r="AS41" s="48"/>
      <c r="AT41" s="67">
        <f>AT29/AT$31</f>
        <v>1.1071246713568674E-2</v>
      </c>
      <c r="AU41" s="48"/>
      <c r="AV41" s="48"/>
      <c r="AW41" s="48"/>
      <c r="AX41" s="48"/>
      <c r="AY41" s="67">
        <f>AY29/AY$31</f>
        <v>1.5976433124552714E-2</v>
      </c>
      <c r="AZ41" s="48"/>
      <c r="BA41" s="48"/>
      <c r="BB41" s="48"/>
      <c r="BC41" s="48"/>
      <c r="BD41" s="67">
        <f>BD29/BD$31</f>
        <v>2.8646167209813819E-2</v>
      </c>
      <c r="BE41" s="48"/>
      <c r="BF41" s="48"/>
      <c r="BG41" s="48"/>
      <c r="BH41" s="48"/>
      <c r="BI41" s="67">
        <f>BI29/BI$31</f>
        <v>2.272925688255072E-2</v>
      </c>
      <c r="BJ41" s="48"/>
      <c r="BK41" s="48"/>
      <c r="BL41" s="48"/>
      <c r="BM41" s="48"/>
      <c r="BN41" s="67">
        <f>BN29/BN$31</f>
        <v>2.3561622441388777E-2</v>
      </c>
      <c r="BO41" s="48"/>
      <c r="BP41" s="48"/>
      <c r="BQ41" s="48"/>
      <c r="BR41" s="48"/>
      <c r="BS41" s="67">
        <f>BS29/BS$31</f>
        <v>2.2905397233034707E-2</v>
      </c>
      <c r="BT41" s="48"/>
      <c r="BU41" s="48"/>
      <c r="BV41" s="48"/>
      <c r="BW41" s="48"/>
      <c r="BX41" s="67">
        <f>BX29/BX$31</f>
        <v>1.9275037394105556E-2</v>
      </c>
      <c r="BY41" s="48"/>
      <c r="BZ41" s="48"/>
      <c r="CA41" s="48"/>
      <c r="CB41" s="48"/>
      <c r="CC41" s="67">
        <f>CC29/CC$31</f>
        <v>1.5924181646427445E-2</v>
      </c>
      <c r="CD41" s="48"/>
      <c r="CE41" s="42"/>
      <c r="CF41" s="42"/>
      <c r="CG41" s="42"/>
      <c r="CH41" s="67">
        <f>CH29/CH$31</f>
        <v>9.4960151712395607E-3</v>
      </c>
      <c r="CI41" s="42"/>
      <c r="CJ41" s="42"/>
      <c r="CK41" s="42"/>
      <c r="CL41" s="42"/>
      <c r="CM41" s="67">
        <f>CM29/CM$31</f>
        <v>5.8161978936477768E-3</v>
      </c>
      <c r="CN41" s="42"/>
      <c r="CO41" s="42"/>
      <c r="CP41" s="42"/>
      <c r="CQ41" s="42"/>
      <c r="CR41" s="67"/>
    </row>
    <row r="42" spans="1:96" ht="11.15" customHeight="1" x14ac:dyDescent="0.2">
      <c r="A42" s="21" t="s">
        <v>107</v>
      </c>
      <c r="B42" s="11"/>
      <c r="C42" s="11"/>
      <c r="D42" s="11"/>
      <c r="E42" s="11"/>
      <c r="F42" s="67">
        <f>F30/F$31</f>
        <v>7.8052016058648976E-2</v>
      </c>
      <c r="G42" s="11"/>
      <c r="H42" s="11"/>
      <c r="I42" s="11"/>
      <c r="J42" s="11"/>
      <c r="K42" s="67">
        <f>K30/K$31</f>
        <v>5.5777863756578706E-2</v>
      </c>
      <c r="L42" s="11"/>
      <c r="M42" s="11"/>
      <c r="N42" s="11"/>
      <c r="O42" s="11"/>
      <c r="P42" s="67">
        <f>P30/P$31</f>
        <v>1.6509804606331523E-2</v>
      </c>
      <c r="Q42" s="11"/>
      <c r="R42" s="11"/>
      <c r="S42" s="11"/>
      <c r="T42" s="11"/>
      <c r="U42" s="67">
        <f t="shared" ref="U42:AE42" si="191">U30/U$31</f>
        <v>4.0915790719442263E-2</v>
      </c>
      <c r="V42" s="46">
        <f t="shared" si="191"/>
        <v>3.7614248886805715E-2</v>
      </c>
      <c r="W42" s="46">
        <f t="shared" si="191"/>
        <v>3.6843200808825714E-2</v>
      </c>
      <c r="X42" s="46">
        <f t="shared" si="191"/>
        <v>1.7278753022842035E-2</v>
      </c>
      <c r="Y42" s="46">
        <f t="shared" si="191"/>
        <v>2.2211219488042777E-2</v>
      </c>
      <c r="Z42" s="67">
        <f t="shared" si="191"/>
        <v>2.681984655278424E-2</v>
      </c>
      <c r="AA42" s="46">
        <f t="shared" si="191"/>
        <v>2.1278937153604512E-2</v>
      </c>
      <c r="AB42" s="46">
        <f t="shared" si="191"/>
        <v>1.5721362025980842E-2</v>
      </c>
      <c r="AC42" s="46">
        <f t="shared" si="191"/>
        <v>1.8618669807227421E-2</v>
      </c>
      <c r="AD42" s="46">
        <f t="shared" si="191"/>
        <v>1.8668436902950034E-2</v>
      </c>
      <c r="AE42" s="67">
        <f t="shared" si="191"/>
        <v>1.8447485889875697E-2</v>
      </c>
      <c r="AF42" s="48"/>
      <c r="AG42" s="48"/>
      <c r="AH42" s="11"/>
      <c r="AI42" s="11"/>
      <c r="AJ42" s="67">
        <f>AJ30/AJ$31</f>
        <v>1.0234157233062176E-2</v>
      </c>
      <c r="AK42" s="48"/>
      <c r="AL42" s="48"/>
      <c r="AM42" s="48"/>
      <c r="AN42" s="48"/>
      <c r="AO42" s="67">
        <f>AO30/AO$31</f>
        <v>6.183317541980822E-3</v>
      </c>
      <c r="AP42" s="48"/>
      <c r="AQ42" s="48"/>
      <c r="AR42" s="48"/>
      <c r="AS42" s="48"/>
      <c r="AT42" s="67">
        <f>AT30/AT$31</f>
        <v>5.6259027943759161E-3</v>
      </c>
      <c r="AU42" s="48"/>
      <c r="AV42" s="48"/>
      <c r="AW42" s="48"/>
      <c r="AX42" s="48"/>
      <c r="AY42" s="67">
        <f>AY30/AY$31</f>
        <v>9.6142643950447425E-3</v>
      </c>
      <c r="AZ42" s="48"/>
      <c r="BA42" s="48"/>
      <c r="BB42" s="48"/>
      <c r="BC42" s="48"/>
      <c r="BD42" s="67">
        <f>BD30/BD$31</f>
        <v>7.0216553216991507E-3</v>
      </c>
      <c r="BE42" s="48"/>
      <c r="BF42" s="48"/>
      <c r="BG42" s="48"/>
      <c r="BH42" s="48"/>
      <c r="BI42" s="67">
        <f>BI30/BI$31</f>
        <v>5.2686904362231517E-3</v>
      </c>
      <c r="BJ42" s="48"/>
      <c r="BK42" s="48"/>
      <c r="BL42" s="48"/>
      <c r="BM42" s="48"/>
      <c r="BN42" s="67">
        <f>BN30/BN$31</f>
        <v>5.1785291059365393E-3</v>
      </c>
      <c r="BO42" s="48"/>
      <c r="BP42" s="48"/>
      <c r="BQ42" s="48"/>
      <c r="BR42" s="48"/>
      <c r="BS42" s="67">
        <f>BS30/BS$31</f>
        <v>1.101491653994695E-2</v>
      </c>
      <c r="BT42" s="48"/>
      <c r="BU42" s="48"/>
      <c r="BV42" s="48"/>
      <c r="BW42" s="48"/>
      <c r="BX42" s="67">
        <f>BX30/BX$31</f>
        <v>2.6020134518840301E-2</v>
      </c>
      <c r="BY42" s="48"/>
      <c r="BZ42" s="48"/>
      <c r="CA42" s="48"/>
      <c r="CB42" s="48"/>
      <c r="CC42" s="67">
        <f>CC30/CC$31</f>
        <v>2.9390906726174993E-2</v>
      </c>
      <c r="CD42" s="48"/>
      <c r="CE42" s="42"/>
      <c r="CF42" s="42"/>
      <c r="CG42" s="42"/>
      <c r="CH42" s="67">
        <f>CH30/CH$31</f>
        <v>4.924776869875562E-2</v>
      </c>
      <c r="CI42" s="42"/>
      <c r="CJ42" s="42"/>
      <c r="CK42" s="42"/>
      <c r="CL42" s="42"/>
      <c r="CM42" s="67">
        <f>CM30/CM$31</f>
        <v>5.5591760075622998E-2</v>
      </c>
      <c r="CN42" s="42"/>
      <c r="CO42" s="42"/>
      <c r="CP42" s="42"/>
      <c r="CQ42" s="42"/>
      <c r="CR42" s="67"/>
    </row>
    <row r="43" spans="1:96" s="2" customFormat="1" ht="11.15" customHeight="1" x14ac:dyDescent="0.25">
      <c r="A43" s="6" t="s">
        <v>14</v>
      </c>
      <c r="B43" s="31"/>
      <c r="C43" s="31"/>
      <c r="D43" s="31"/>
      <c r="E43" s="31"/>
      <c r="F43" s="77">
        <f>F31/F$31</f>
        <v>1</v>
      </c>
      <c r="G43" s="31"/>
      <c r="H43" s="31"/>
      <c r="I43" s="31"/>
      <c r="J43" s="31"/>
      <c r="K43" s="77">
        <f>K31/K$31</f>
        <v>1</v>
      </c>
      <c r="L43" s="31"/>
      <c r="M43" s="31"/>
      <c r="N43" s="31"/>
      <c r="O43" s="31"/>
      <c r="P43" s="77">
        <f>P31/P$31</f>
        <v>1</v>
      </c>
      <c r="Q43" s="31"/>
      <c r="R43" s="31"/>
      <c r="S43" s="31"/>
      <c r="T43" s="31"/>
      <c r="U43" s="77">
        <f t="shared" ref="U43:AE43" si="192">U31/U$31</f>
        <v>1</v>
      </c>
      <c r="V43" s="47">
        <f t="shared" si="192"/>
        <v>1</v>
      </c>
      <c r="W43" s="47">
        <f t="shared" si="192"/>
        <v>1</v>
      </c>
      <c r="X43" s="47">
        <f t="shared" si="192"/>
        <v>1</v>
      </c>
      <c r="Y43" s="47">
        <f t="shared" si="192"/>
        <v>1</v>
      </c>
      <c r="Z43" s="77">
        <f t="shared" si="192"/>
        <v>1</v>
      </c>
      <c r="AA43" s="47">
        <f t="shared" si="192"/>
        <v>1</v>
      </c>
      <c r="AB43" s="47">
        <f t="shared" si="192"/>
        <v>1</v>
      </c>
      <c r="AC43" s="47">
        <f t="shared" si="192"/>
        <v>1</v>
      </c>
      <c r="AD43" s="47">
        <f t="shared" si="192"/>
        <v>1</v>
      </c>
      <c r="AE43" s="77">
        <f t="shared" si="192"/>
        <v>1</v>
      </c>
      <c r="AF43" s="47">
        <f>AF31/AF$31</f>
        <v>1</v>
      </c>
      <c r="AG43" s="47">
        <f>AG31/AG$31</f>
        <v>1</v>
      </c>
      <c r="AH43" s="47">
        <f>AH31/AH$31</f>
        <v>1</v>
      </c>
      <c r="AI43" s="47">
        <f>AI31/AI$31</f>
        <v>1</v>
      </c>
      <c r="AJ43" s="77">
        <f>AJ31/AJ$31</f>
        <v>1</v>
      </c>
      <c r="AK43" s="47">
        <f>AK31/AK$31</f>
        <v>1</v>
      </c>
      <c r="AL43" s="47">
        <f>AL31/AL$31</f>
        <v>1</v>
      </c>
      <c r="AM43" s="47">
        <f>AM31/AM$31</f>
        <v>1</v>
      </c>
      <c r="AN43" s="47">
        <f>AN31/AN$31</f>
        <v>1</v>
      </c>
      <c r="AO43" s="77">
        <f>AO31/AO$31</f>
        <v>1</v>
      </c>
      <c r="AP43" s="47">
        <f>AP31/AP$31</f>
        <v>1</v>
      </c>
      <c r="AQ43" s="47">
        <f>AQ31/AQ$31</f>
        <v>1</v>
      </c>
      <c r="AR43" s="47">
        <f>AR31/AR$31</f>
        <v>1</v>
      </c>
      <c r="AS43" s="47">
        <f>AS31/AS$31</f>
        <v>1</v>
      </c>
      <c r="AT43" s="77">
        <f>AT31/AT$31</f>
        <v>1</v>
      </c>
      <c r="AU43" s="47">
        <f>AU31/AU$31</f>
        <v>1</v>
      </c>
      <c r="AV43" s="47">
        <f>AV31/AV$31</f>
        <v>1</v>
      </c>
      <c r="AW43" s="47">
        <f>AW31/AW$31</f>
        <v>1</v>
      </c>
      <c r="AX43" s="47">
        <f>AX31/AX$31</f>
        <v>1</v>
      </c>
      <c r="AY43" s="77">
        <f>AY31/AY$31</f>
        <v>1</v>
      </c>
      <c r="AZ43" s="47">
        <f>AZ31/AZ$31</f>
        <v>1</v>
      </c>
      <c r="BA43" s="47">
        <f>BA31/BA$31</f>
        <v>1</v>
      </c>
      <c r="BB43" s="47">
        <f>BB31/BB$31</f>
        <v>1</v>
      </c>
      <c r="BC43" s="47">
        <f>BC31/BC$31</f>
        <v>1</v>
      </c>
      <c r="BD43" s="77">
        <f>BD31/BD$31</f>
        <v>1</v>
      </c>
      <c r="BE43" s="47">
        <f>BE31/BE$31</f>
        <v>1</v>
      </c>
      <c r="BF43" s="47">
        <f>BF31/BF$31</f>
        <v>1</v>
      </c>
      <c r="BG43" s="47">
        <f>BG31/BG$31</f>
        <v>1</v>
      </c>
      <c r="BH43" s="47">
        <f>BH31/BH$31</f>
        <v>1</v>
      </c>
      <c r="BI43" s="77">
        <f>BI31/BI$31</f>
        <v>1</v>
      </c>
      <c r="BJ43" s="47">
        <f>BJ31/BJ$31</f>
        <v>1</v>
      </c>
      <c r="BK43" s="47">
        <f>BK31/BK$31</f>
        <v>1</v>
      </c>
      <c r="BL43" s="47">
        <f>BL31/BL$31</f>
        <v>1</v>
      </c>
      <c r="BM43" s="47">
        <f>BM31/BM$31</f>
        <v>1</v>
      </c>
      <c r="BN43" s="77">
        <f>BN31/BN$31</f>
        <v>1</v>
      </c>
      <c r="BO43" s="47">
        <f>BO31/BO$31</f>
        <v>1</v>
      </c>
      <c r="BP43" s="47">
        <f>BP31/BP$31</f>
        <v>1</v>
      </c>
      <c r="BQ43" s="47">
        <f>BQ31/BQ$31</f>
        <v>1</v>
      </c>
      <c r="BR43" s="47">
        <f>BR31/BR$31</f>
        <v>1</v>
      </c>
      <c r="BS43" s="77">
        <f>BS31/BS$31</f>
        <v>1</v>
      </c>
      <c r="BT43" s="47">
        <f>BT31/BT$31</f>
        <v>1</v>
      </c>
      <c r="BU43" s="47">
        <f>BU31/BU$31</f>
        <v>1</v>
      </c>
      <c r="BV43" s="47">
        <f>BV31/BV$31</f>
        <v>1</v>
      </c>
      <c r="BW43" s="47">
        <f>BW31/BW$31</f>
        <v>1</v>
      </c>
      <c r="BX43" s="77">
        <f>BX31/BX$31</f>
        <v>1</v>
      </c>
      <c r="BY43" s="47">
        <f>BY31/BY$31</f>
        <v>1</v>
      </c>
      <c r="BZ43" s="47">
        <f>BZ31/BZ$31</f>
        <v>1</v>
      </c>
      <c r="CA43" s="47">
        <f>CA31/CA$31</f>
        <v>1</v>
      </c>
      <c r="CB43" s="47">
        <f>CB31/CB$31</f>
        <v>1</v>
      </c>
      <c r="CC43" s="77">
        <f>CC31/CC$31</f>
        <v>1</v>
      </c>
      <c r="CD43" s="47">
        <f>CD31/CD$31</f>
        <v>1</v>
      </c>
      <c r="CE43" s="47">
        <f>CE31/CE$31</f>
        <v>1</v>
      </c>
      <c r="CF43" s="47">
        <f>CF31/CF$31</f>
        <v>1</v>
      </c>
      <c r="CG43" s="47">
        <f>CG31/CG$31</f>
        <v>1</v>
      </c>
      <c r="CH43" s="77">
        <f>CH31/CH$31</f>
        <v>1</v>
      </c>
      <c r="CI43" s="47">
        <f>CI31/CI$31</f>
        <v>1</v>
      </c>
      <c r="CJ43" s="47">
        <f>CJ31/CJ$31</f>
        <v>1</v>
      </c>
      <c r="CK43" s="47">
        <f>CK31/CK$31</f>
        <v>1</v>
      </c>
      <c r="CL43" s="47">
        <f>CL31/CL$31</f>
        <v>1</v>
      </c>
      <c r="CM43" s="77">
        <f>CM31/CM$31</f>
        <v>1</v>
      </c>
      <c r="CN43" s="47">
        <f>CN31/CN$31</f>
        <v>1</v>
      </c>
      <c r="CO43" s="47">
        <f>CO31/CO$31</f>
        <v>1</v>
      </c>
      <c r="CP43" s="47"/>
      <c r="CQ43" s="47"/>
      <c r="CR43" s="77">
        <f>CR31/CR$31</f>
        <v>1</v>
      </c>
    </row>
    <row r="44" spans="1:96" s="2" customFormat="1" ht="11.15" customHeight="1" x14ac:dyDescent="0.25">
      <c r="A44" s="21"/>
      <c r="B44" s="11"/>
      <c r="C44" s="11"/>
      <c r="D44" s="11"/>
      <c r="E44" s="11"/>
      <c r="F44" s="61"/>
      <c r="G44" s="11"/>
      <c r="H44" s="11"/>
      <c r="I44" s="11"/>
      <c r="J44" s="11"/>
      <c r="K44" s="61"/>
      <c r="L44" s="11"/>
      <c r="M44" s="11"/>
      <c r="N44" s="11"/>
      <c r="O44" s="11"/>
      <c r="P44" s="61"/>
      <c r="Q44" s="11"/>
      <c r="R44" s="11"/>
      <c r="S44" s="11"/>
      <c r="T44" s="11"/>
      <c r="U44" s="61"/>
      <c r="V44" s="11"/>
      <c r="W44" s="11"/>
      <c r="X44" s="11"/>
      <c r="Y44" s="11"/>
      <c r="Z44" s="61"/>
      <c r="AA44" s="11"/>
      <c r="AB44" s="11"/>
      <c r="AC44" s="11"/>
      <c r="AD44" s="11"/>
      <c r="AE44" s="61"/>
      <c r="AF44" s="11"/>
      <c r="AG44" s="11"/>
      <c r="AH44" s="11"/>
      <c r="AI44" s="11"/>
      <c r="AJ44" s="61"/>
      <c r="AK44" s="11"/>
      <c r="AL44" s="11"/>
      <c r="AM44" s="11"/>
      <c r="AN44" s="11"/>
      <c r="AO44" s="61"/>
      <c r="AP44" s="11"/>
      <c r="AQ44" s="11"/>
      <c r="AR44" s="11"/>
      <c r="AS44" s="11"/>
      <c r="AT44" s="61"/>
      <c r="AU44" s="11"/>
      <c r="AV44" s="11"/>
      <c r="AW44" s="11"/>
      <c r="AX44" s="11"/>
      <c r="AY44" s="61"/>
      <c r="AZ44" s="11"/>
      <c r="BA44" s="11"/>
      <c r="BB44" s="11"/>
      <c r="BC44" s="11"/>
      <c r="BD44" s="61"/>
      <c r="BE44" s="11"/>
      <c r="BF44" s="11"/>
      <c r="BG44" s="11"/>
      <c r="BH44" s="11"/>
      <c r="BI44" s="61"/>
      <c r="BJ44" s="11"/>
      <c r="BK44" s="11"/>
      <c r="BL44" s="11"/>
      <c r="BM44" s="11"/>
      <c r="BN44" s="61"/>
      <c r="BO44" s="11"/>
      <c r="BP44" s="11"/>
      <c r="BQ44" s="11"/>
      <c r="BR44" s="11"/>
      <c r="BS44" s="61"/>
      <c r="BT44" s="11"/>
      <c r="BU44" s="11"/>
      <c r="BV44" s="11"/>
      <c r="BW44" s="11"/>
      <c r="BX44" s="61"/>
      <c r="BY44" s="11"/>
      <c r="BZ44" s="11"/>
      <c r="CA44" s="11"/>
      <c r="CB44" s="11"/>
      <c r="CC44" s="61"/>
      <c r="CD44" s="11"/>
      <c r="CE44" s="11"/>
      <c r="CF44" s="11"/>
      <c r="CG44" s="11"/>
      <c r="CH44" s="61"/>
      <c r="CI44" s="11"/>
      <c r="CJ44" s="11"/>
      <c r="CK44" s="11"/>
      <c r="CL44" s="11"/>
      <c r="CM44" s="61"/>
      <c r="CN44" s="11"/>
      <c r="CO44" s="11"/>
      <c r="CP44" s="11"/>
      <c r="CQ44" s="11"/>
      <c r="CR44" s="61"/>
    </row>
    <row r="45" spans="1:96" s="30" customFormat="1" ht="11.15" customHeight="1" x14ac:dyDescent="0.25">
      <c r="A45" s="35" t="s">
        <v>113</v>
      </c>
      <c r="B45" s="28"/>
      <c r="C45" s="28"/>
      <c r="D45" s="29"/>
      <c r="E45" s="29"/>
      <c r="F45" s="75"/>
      <c r="G45" s="28"/>
      <c r="H45" s="28"/>
      <c r="I45" s="29"/>
      <c r="J45" s="29"/>
      <c r="K45" s="75"/>
      <c r="L45" s="28"/>
      <c r="M45" s="28"/>
      <c r="N45" s="29"/>
      <c r="O45" s="29"/>
      <c r="P45" s="75"/>
      <c r="Q45" s="28"/>
      <c r="R45" s="28"/>
      <c r="S45" s="29"/>
      <c r="T45" s="29"/>
      <c r="U45" s="75"/>
      <c r="V45" s="28"/>
      <c r="W45" s="28"/>
      <c r="X45" s="29"/>
      <c r="Y45" s="29"/>
      <c r="Z45" s="75"/>
      <c r="AA45" s="28"/>
      <c r="AB45" s="28"/>
      <c r="AC45" s="29"/>
      <c r="AD45" s="29"/>
      <c r="AE45" s="75"/>
      <c r="AF45" s="28"/>
      <c r="AG45" s="28"/>
      <c r="AH45" s="29"/>
      <c r="AI45" s="29"/>
      <c r="AJ45" s="75"/>
      <c r="AK45" s="89"/>
      <c r="AL45" s="28"/>
      <c r="AM45" s="29"/>
      <c r="AN45" s="29"/>
      <c r="AO45" s="75"/>
      <c r="AP45" s="28"/>
      <c r="AQ45" s="28"/>
      <c r="AR45" s="29"/>
      <c r="AS45" s="29"/>
      <c r="AT45" s="75"/>
      <c r="AU45" s="28"/>
      <c r="AV45" s="28"/>
      <c r="AW45" s="29"/>
      <c r="AX45" s="29"/>
      <c r="AY45" s="75"/>
      <c r="AZ45" s="28"/>
      <c r="BA45" s="28"/>
      <c r="BB45" s="29"/>
      <c r="BC45" s="29"/>
      <c r="BD45" s="75"/>
      <c r="BE45" s="28"/>
      <c r="BF45" s="28"/>
      <c r="BG45" s="29"/>
      <c r="BH45" s="29"/>
      <c r="BI45" s="75"/>
      <c r="BJ45" s="28"/>
      <c r="BK45" s="28"/>
      <c r="BL45" s="29"/>
      <c r="BM45" s="29"/>
      <c r="BN45" s="75"/>
      <c r="BO45" s="28"/>
      <c r="BP45" s="28"/>
      <c r="BQ45" s="28"/>
      <c r="BR45" s="29"/>
      <c r="BS45" s="75"/>
      <c r="BT45" s="28"/>
      <c r="BU45" s="28"/>
      <c r="BV45" s="28"/>
      <c r="BW45" s="29"/>
      <c r="BX45" s="75"/>
      <c r="BY45" s="28"/>
      <c r="BZ45" s="28"/>
      <c r="CA45" s="28"/>
      <c r="CB45" s="29"/>
      <c r="CC45" s="75"/>
      <c r="CD45" s="28"/>
      <c r="CE45" s="28"/>
      <c r="CF45" s="28"/>
      <c r="CG45" s="28"/>
      <c r="CH45" s="75"/>
      <c r="CI45" s="28"/>
      <c r="CJ45" s="28"/>
      <c r="CK45" s="28"/>
      <c r="CL45" s="28"/>
      <c r="CM45" s="75"/>
      <c r="CN45" s="28"/>
      <c r="CO45" s="28"/>
      <c r="CP45" s="28"/>
      <c r="CQ45" s="28"/>
      <c r="CR45" s="75"/>
    </row>
    <row r="46" spans="1:96" s="30" customFormat="1" ht="11.15" customHeight="1" x14ac:dyDescent="0.2">
      <c r="A46" s="7" t="s">
        <v>160</v>
      </c>
      <c r="B46" s="8"/>
      <c r="C46" s="8"/>
      <c r="D46" s="8"/>
      <c r="E46" s="8"/>
      <c r="F46" s="58"/>
      <c r="G46" s="8"/>
      <c r="H46" s="8"/>
      <c r="I46" s="8"/>
      <c r="J46" s="8"/>
      <c r="K46" s="58"/>
      <c r="L46" s="8"/>
      <c r="M46" s="8"/>
      <c r="N46" s="8"/>
      <c r="O46" s="8"/>
      <c r="P46" s="58"/>
      <c r="Q46" s="8"/>
      <c r="R46" s="8"/>
      <c r="S46" s="8"/>
      <c r="T46" s="8"/>
      <c r="U46" s="58"/>
      <c r="V46" s="8"/>
      <c r="W46" s="8"/>
      <c r="X46" s="8"/>
      <c r="Y46" s="8"/>
      <c r="Z46" s="58"/>
      <c r="AA46" s="8"/>
      <c r="AB46" s="8"/>
      <c r="AC46" s="8"/>
      <c r="AD46" s="8"/>
      <c r="AE46" s="58"/>
      <c r="AF46" s="8"/>
      <c r="AG46" s="8"/>
      <c r="AH46" s="8"/>
      <c r="AI46" s="8"/>
      <c r="AJ46" s="70"/>
      <c r="AK46" s="40">
        <v>74572</v>
      </c>
      <c r="AL46" s="40">
        <v>85014</v>
      </c>
      <c r="AM46" s="40">
        <v>95713</v>
      </c>
      <c r="AN46" s="40">
        <v>87485</v>
      </c>
      <c r="AO46" s="58">
        <f t="shared" ref="AO46:AO51" si="193">SUM(AK46:AN46)</f>
        <v>342784</v>
      </c>
      <c r="AP46" s="40">
        <v>99455</v>
      </c>
      <c r="AQ46" s="40">
        <v>103698</v>
      </c>
      <c r="AR46" s="40">
        <v>105442</v>
      </c>
      <c r="AS46" s="40">
        <v>115389</v>
      </c>
      <c r="AT46" s="58">
        <f t="shared" ref="AT46:AT51" si="194">SUM(AP46:AS46)</f>
        <v>423984</v>
      </c>
      <c r="AU46" s="40">
        <v>114316</v>
      </c>
      <c r="AV46" s="40">
        <v>131780</v>
      </c>
      <c r="AW46" s="40">
        <v>130917</v>
      </c>
      <c r="AX46" s="40">
        <v>122585</v>
      </c>
      <c r="AY46" s="58">
        <f t="shared" ref="AY46:AY51" si="195">SUM(AU46:AX46)</f>
        <v>499598</v>
      </c>
      <c r="AZ46" s="40">
        <v>118220</v>
      </c>
      <c r="BA46" s="40">
        <v>141406</v>
      </c>
      <c r="BB46" s="40">
        <v>153002</v>
      </c>
      <c r="BC46" s="40">
        <v>166040</v>
      </c>
      <c r="BD46" s="58">
        <f t="shared" ref="BD46:BD51" si="196">SUM(AZ46:BC46)</f>
        <v>578668</v>
      </c>
      <c r="BE46" s="40">
        <v>167944</v>
      </c>
      <c r="BF46" s="40">
        <v>222204</v>
      </c>
      <c r="BG46" s="40">
        <v>244239</v>
      </c>
      <c r="BH46" s="40">
        <v>233076</v>
      </c>
      <c r="BI46" s="58">
        <f t="shared" ref="BI46:BI51" si="197">SUM(BE46:BH46)</f>
        <v>867463</v>
      </c>
      <c r="BJ46" s="40">
        <v>230574</v>
      </c>
      <c r="BK46" s="40">
        <v>266075</v>
      </c>
      <c r="BL46" s="40">
        <v>227462</v>
      </c>
      <c r="BM46" s="40">
        <v>185615</v>
      </c>
      <c r="BN46" s="58">
        <f t="shared" ref="BN46:BN51" si="198">SUM(BJ46:BM46)</f>
        <v>909726</v>
      </c>
      <c r="BO46" s="40">
        <v>179019</v>
      </c>
      <c r="BP46" s="40">
        <v>213411</v>
      </c>
      <c r="BQ46" s="40">
        <v>184924</v>
      </c>
      <c r="BR46" s="40">
        <v>157391</v>
      </c>
      <c r="BS46" s="58">
        <f t="shared" ref="BS46:BS51" si="199">SUM(BO46:BR46)</f>
        <v>734745</v>
      </c>
      <c r="BT46" s="40">
        <v>119316</v>
      </c>
      <c r="BU46" s="40">
        <v>157478</v>
      </c>
      <c r="BV46" s="40">
        <v>184387</v>
      </c>
      <c r="BW46" s="40">
        <v>184881</v>
      </c>
      <c r="BX46" s="58">
        <f t="shared" ref="BX46:BX51" si="200">SUM(BT46:BW46)</f>
        <v>646062</v>
      </c>
      <c r="BY46" s="40">
        <v>170482</v>
      </c>
      <c r="BZ46" s="40">
        <v>189744</v>
      </c>
      <c r="CA46" s="40">
        <v>177787</v>
      </c>
      <c r="CB46" s="40">
        <v>149393</v>
      </c>
      <c r="CC46" s="58">
        <f t="shared" ref="CC46:CC51" si="201">SUM(BY46:CB46)</f>
        <v>687406</v>
      </c>
      <c r="CD46" s="40">
        <v>167691</v>
      </c>
      <c r="CE46" s="40">
        <v>162997</v>
      </c>
      <c r="CF46" s="40">
        <v>152767</v>
      </c>
      <c r="CG46" s="40">
        <v>130279</v>
      </c>
      <c r="CH46" s="58">
        <f t="shared" ref="CH46:CH51" si="202">SUM(CD46:CG46)</f>
        <v>613734</v>
      </c>
      <c r="CI46" s="40">
        <v>154034</v>
      </c>
      <c r="CJ46" s="40">
        <v>145992</v>
      </c>
      <c r="CK46" s="40">
        <v>119512</v>
      </c>
      <c r="CL46" s="40">
        <v>105443</v>
      </c>
      <c r="CM46" s="58">
        <f t="shared" ref="CM46:CM51" si="203">SUM(CI46:CL46)</f>
        <v>524981</v>
      </c>
      <c r="CN46" s="40">
        <v>90793</v>
      </c>
      <c r="CO46" s="40">
        <v>82225</v>
      </c>
      <c r="CP46" s="40"/>
      <c r="CQ46" s="40"/>
      <c r="CR46" s="58">
        <f t="shared" ref="CR46:CR51" si="204">SUM(CN46:CQ46)</f>
        <v>173018</v>
      </c>
    </row>
    <row r="47" spans="1:96" ht="11.15" customHeight="1" x14ac:dyDescent="0.2">
      <c r="A47" s="7" t="s">
        <v>161</v>
      </c>
      <c r="B47" s="11"/>
      <c r="C47" s="11"/>
      <c r="D47" s="11"/>
      <c r="E47" s="11"/>
      <c r="F47" s="61"/>
      <c r="G47" s="11"/>
      <c r="H47" s="11"/>
      <c r="I47" s="11"/>
      <c r="J47" s="11"/>
      <c r="K47" s="61"/>
      <c r="L47" s="11"/>
      <c r="M47" s="11"/>
      <c r="N47" s="11"/>
      <c r="O47" s="11"/>
      <c r="P47" s="61"/>
      <c r="Q47" s="11"/>
      <c r="R47" s="11"/>
      <c r="S47" s="11"/>
      <c r="T47" s="11"/>
      <c r="U47" s="61"/>
      <c r="V47" s="11"/>
      <c r="W47" s="11"/>
      <c r="X47" s="11"/>
      <c r="Y47" s="11"/>
      <c r="Z47" s="61"/>
      <c r="AA47" s="11"/>
      <c r="AB47" s="11"/>
      <c r="AC47" s="11"/>
      <c r="AD47" s="11"/>
      <c r="AE47" s="61"/>
      <c r="AF47" s="11"/>
      <c r="AG47" s="11"/>
      <c r="AH47" s="11"/>
      <c r="AI47" s="11"/>
      <c r="AJ47" s="65"/>
      <c r="AK47" s="36">
        <v>14604</v>
      </c>
      <c r="AL47" s="36">
        <v>19244</v>
      </c>
      <c r="AM47" s="36">
        <v>16966</v>
      </c>
      <c r="AN47" s="36">
        <v>16200</v>
      </c>
      <c r="AO47" s="61">
        <f t="shared" si="193"/>
        <v>67014</v>
      </c>
      <c r="AP47" s="36">
        <v>20593</v>
      </c>
      <c r="AQ47" s="36">
        <v>24160</v>
      </c>
      <c r="AR47" s="36">
        <v>23844</v>
      </c>
      <c r="AS47" s="36">
        <v>24829</v>
      </c>
      <c r="AT47" s="61">
        <f t="shared" si="194"/>
        <v>93426</v>
      </c>
      <c r="AU47" s="36">
        <v>25613</v>
      </c>
      <c r="AV47" s="36">
        <v>30941</v>
      </c>
      <c r="AW47" s="36">
        <v>30399</v>
      </c>
      <c r="AX47" s="36">
        <v>27719</v>
      </c>
      <c r="AY47" s="61">
        <f t="shared" si="195"/>
        <v>114672</v>
      </c>
      <c r="AZ47" s="36">
        <v>26292</v>
      </c>
      <c r="BA47" s="36">
        <v>30579</v>
      </c>
      <c r="BB47" s="36">
        <v>28003</v>
      </c>
      <c r="BC47" s="36">
        <v>27852</v>
      </c>
      <c r="BD47" s="61">
        <f t="shared" si="196"/>
        <v>112726</v>
      </c>
      <c r="BE47" s="36">
        <v>23136</v>
      </c>
      <c r="BF47" s="36">
        <v>33273</v>
      </c>
      <c r="BG47" s="36">
        <v>33561</v>
      </c>
      <c r="BH47" s="36">
        <v>28735</v>
      </c>
      <c r="BI47" s="61">
        <f t="shared" si="197"/>
        <v>118705</v>
      </c>
      <c r="BJ47" s="36">
        <v>25399</v>
      </c>
      <c r="BK47" s="36">
        <v>30972</v>
      </c>
      <c r="BL47" s="36">
        <v>19101</v>
      </c>
      <c r="BM47" s="36">
        <v>20292</v>
      </c>
      <c r="BN47" s="61">
        <f t="shared" si="198"/>
        <v>95764</v>
      </c>
      <c r="BO47" s="36">
        <v>15598</v>
      </c>
      <c r="BP47" s="36">
        <v>15415</v>
      </c>
      <c r="BQ47" s="36">
        <v>11891</v>
      </c>
      <c r="BR47" s="36">
        <v>13721</v>
      </c>
      <c r="BS47" s="61">
        <f t="shared" si="199"/>
        <v>56625</v>
      </c>
      <c r="BT47" s="36">
        <v>11253</v>
      </c>
      <c r="BU47" s="36">
        <v>10692</v>
      </c>
      <c r="BV47" s="36">
        <v>11756</v>
      </c>
      <c r="BW47" s="36">
        <v>17095</v>
      </c>
      <c r="BX47" s="61">
        <f t="shared" si="200"/>
        <v>50796</v>
      </c>
      <c r="BY47" s="36">
        <v>15882</v>
      </c>
      <c r="BZ47" s="36">
        <v>18177</v>
      </c>
      <c r="CA47" s="36">
        <v>24520</v>
      </c>
      <c r="CB47" s="40">
        <v>21922</v>
      </c>
      <c r="CC47" s="61">
        <f t="shared" si="201"/>
        <v>80501</v>
      </c>
      <c r="CD47" s="36">
        <v>23668</v>
      </c>
      <c r="CE47" s="101">
        <v>18923</v>
      </c>
      <c r="CF47" s="101">
        <v>20639</v>
      </c>
      <c r="CG47" s="101">
        <v>13849</v>
      </c>
      <c r="CH47" s="61">
        <f t="shared" si="202"/>
        <v>77079</v>
      </c>
      <c r="CI47" s="36">
        <v>13839</v>
      </c>
      <c r="CJ47" s="36">
        <v>22370</v>
      </c>
      <c r="CK47" s="36">
        <v>20937</v>
      </c>
      <c r="CL47" s="101">
        <v>14526</v>
      </c>
      <c r="CM47" s="61">
        <f t="shared" si="203"/>
        <v>71672</v>
      </c>
      <c r="CN47" s="36">
        <v>16214</v>
      </c>
      <c r="CO47" s="36">
        <v>15758</v>
      </c>
      <c r="CP47" s="36"/>
      <c r="CQ47" s="101"/>
      <c r="CR47" s="61">
        <f t="shared" si="204"/>
        <v>31972</v>
      </c>
    </row>
    <row r="48" spans="1:96" ht="11.15" customHeight="1" x14ac:dyDescent="0.2">
      <c r="A48" s="7" t="s">
        <v>114</v>
      </c>
      <c r="B48" s="11"/>
      <c r="C48" s="11"/>
      <c r="D48" s="11"/>
      <c r="E48" s="11"/>
      <c r="F48" s="61"/>
      <c r="G48" s="11"/>
      <c r="H48" s="11"/>
      <c r="I48" s="11"/>
      <c r="J48" s="11"/>
      <c r="K48" s="61"/>
      <c r="L48" s="11"/>
      <c r="M48" s="11"/>
      <c r="N48" s="11"/>
      <c r="O48" s="11"/>
      <c r="P48" s="61"/>
      <c r="Q48" s="11"/>
      <c r="R48" s="11"/>
      <c r="S48" s="11"/>
      <c r="T48" s="11"/>
      <c r="U48" s="61"/>
      <c r="V48" s="11"/>
      <c r="W48" s="11"/>
      <c r="X48" s="11"/>
      <c r="Y48" s="11"/>
      <c r="Z48" s="61"/>
      <c r="AA48" s="11"/>
      <c r="AB48" s="11"/>
      <c r="AC48" s="11"/>
      <c r="AD48" s="11"/>
      <c r="AE48" s="61"/>
      <c r="AF48" s="11"/>
      <c r="AG48" s="11"/>
      <c r="AH48" s="11"/>
      <c r="AI48" s="11"/>
      <c r="AJ48" s="65"/>
      <c r="AK48" s="36">
        <v>33230</v>
      </c>
      <c r="AL48" s="36">
        <v>39842</v>
      </c>
      <c r="AM48" s="36">
        <v>34295</v>
      </c>
      <c r="AN48" s="36">
        <v>27285</v>
      </c>
      <c r="AO48" s="61">
        <f t="shared" si="193"/>
        <v>134652</v>
      </c>
      <c r="AP48" s="36">
        <v>28642</v>
      </c>
      <c r="AQ48" s="36">
        <v>32427</v>
      </c>
      <c r="AR48" s="36">
        <v>38373</v>
      </c>
      <c r="AS48" s="36">
        <v>31978</v>
      </c>
      <c r="AT48" s="61">
        <f t="shared" si="194"/>
        <v>131420</v>
      </c>
      <c r="AU48" s="36">
        <v>29850</v>
      </c>
      <c r="AV48" s="36">
        <v>32140</v>
      </c>
      <c r="AW48" s="36">
        <v>35046</v>
      </c>
      <c r="AX48" s="36">
        <v>27807</v>
      </c>
      <c r="AY48" s="61">
        <f t="shared" si="195"/>
        <v>124843</v>
      </c>
      <c r="AZ48" s="36">
        <v>28625</v>
      </c>
      <c r="BA48" s="36">
        <v>36632</v>
      </c>
      <c r="BB48" s="36">
        <v>34429</v>
      </c>
      <c r="BC48" s="36">
        <v>29284</v>
      </c>
      <c r="BD48" s="61">
        <f t="shared" si="196"/>
        <v>128970</v>
      </c>
      <c r="BE48" s="36">
        <v>32456</v>
      </c>
      <c r="BF48" s="36">
        <v>41106</v>
      </c>
      <c r="BG48" s="36">
        <v>39881</v>
      </c>
      <c r="BH48" s="36">
        <v>35259</v>
      </c>
      <c r="BI48" s="61">
        <f t="shared" si="197"/>
        <v>148702</v>
      </c>
      <c r="BJ48" s="36">
        <v>38253</v>
      </c>
      <c r="BK48" s="36">
        <v>41582</v>
      </c>
      <c r="BL48" s="36">
        <v>35408</v>
      </c>
      <c r="BM48" s="36">
        <v>46805</v>
      </c>
      <c r="BN48" s="61">
        <f t="shared" si="198"/>
        <v>162048</v>
      </c>
      <c r="BO48" s="36">
        <v>31437</v>
      </c>
      <c r="BP48" s="36">
        <v>40813</v>
      </c>
      <c r="BQ48" s="36">
        <v>33850</v>
      </c>
      <c r="BR48" s="36">
        <v>31575</v>
      </c>
      <c r="BS48" s="61">
        <f t="shared" si="199"/>
        <v>137675</v>
      </c>
      <c r="BT48" s="36">
        <v>31839</v>
      </c>
      <c r="BU48" s="36">
        <v>42577</v>
      </c>
      <c r="BV48" s="36">
        <v>34975</v>
      </c>
      <c r="BW48" s="36">
        <v>49057</v>
      </c>
      <c r="BX48" s="61">
        <f t="shared" si="200"/>
        <v>158448</v>
      </c>
      <c r="BY48" s="36">
        <v>55395</v>
      </c>
      <c r="BZ48" s="36">
        <v>61773</v>
      </c>
      <c r="CA48" s="36">
        <v>59051</v>
      </c>
      <c r="CB48" s="40">
        <v>64759</v>
      </c>
      <c r="CC48" s="61">
        <f t="shared" si="201"/>
        <v>240978</v>
      </c>
      <c r="CD48" s="36">
        <v>66932</v>
      </c>
      <c r="CE48" s="101">
        <v>69852</v>
      </c>
      <c r="CF48" s="101">
        <v>55216</v>
      </c>
      <c r="CG48" s="101">
        <v>58677</v>
      </c>
      <c r="CH48" s="61">
        <f t="shared" si="202"/>
        <v>250677</v>
      </c>
      <c r="CI48" s="36">
        <v>56147</v>
      </c>
      <c r="CJ48" s="36">
        <v>53002</v>
      </c>
      <c r="CK48" s="36">
        <v>41420</v>
      </c>
      <c r="CL48" s="101">
        <v>35012</v>
      </c>
      <c r="CM48" s="61">
        <f>SUM(CI48:CL48)</f>
        <v>185581</v>
      </c>
      <c r="CN48" s="36">
        <v>34819</v>
      </c>
      <c r="CO48" s="36">
        <v>42536</v>
      </c>
      <c r="CP48" s="36"/>
      <c r="CQ48" s="101"/>
      <c r="CR48" s="61">
        <f>SUM(CN48:CQ48)</f>
        <v>77355</v>
      </c>
    </row>
    <row r="49" spans="1:96" ht="11.15" customHeight="1" x14ac:dyDescent="0.2">
      <c r="A49" s="7" t="s">
        <v>115</v>
      </c>
      <c r="B49" s="11"/>
      <c r="C49" s="11"/>
      <c r="D49" s="11"/>
      <c r="E49" s="11"/>
      <c r="F49" s="61"/>
      <c r="G49" s="11"/>
      <c r="H49" s="11"/>
      <c r="I49" s="11"/>
      <c r="J49" s="11"/>
      <c r="K49" s="61"/>
      <c r="L49" s="11"/>
      <c r="M49" s="11"/>
      <c r="N49" s="11"/>
      <c r="O49" s="11"/>
      <c r="P49" s="61"/>
      <c r="Q49" s="11"/>
      <c r="R49" s="11"/>
      <c r="S49" s="11"/>
      <c r="T49" s="11"/>
      <c r="U49" s="61"/>
      <c r="V49" s="11"/>
      <c r="W49" s="11"/>
      <c r="X49" s="11"/>
      <c r="Y49" s="11"/>
      <c r="Z49" s="61"/>
      <c r="AA49" s="11"/>
      <c r="AB49" s="11"/>
      <c r="AC49" s="11"/>
      <c r="AD49" s="11"/>
      <c r="AE49" s="61"/>
      <c r="AF49" s="11"/>
      <c r="AG49" s="11"/>
      <c r="AH49" s="11"/>
      <c r="AI49" s="11"/>
      <c r="AJ49" s="65"/>
      <c r="AK49" s="36">
        <v>3928</v>
      </c>
      <c r="AL49" s="36">
        <v>5591</v>
      </c>
      <c r="AM49" s="36">
        <v>6515</v>
      </c>
      <c r="AN49" s="36">
        <v>5477</v>
      </c>
      <c r="AO49" s="61">
        <f t="shared" si="193"/>
        <v>21511</v>
      </c>
      <c r="AP49" s="36">
        <v>5608</v>
      </c>
      <c r="AQ49" s="36">
        <v>8075</v>
      </c>
      <c r="AR49" s="36">
        <v>14446</v>
      </c>
      <c r="AS49" s="36">
        <v>6752</v>
      </c>
      <c r="AT49" s="61">
        <f t="shared" si="194"/>
        <v>34881</v>
      </c>
      <c r="AU49" s="36">
        <v>10031</v>
      </c>
      <c r="AV49" s="36">
        <v>15711</v>
      </c>
      <c r="AW49" s="36">
        <v>19849</v>
      </c>
      <c r="AX49" s="36">
        <v>10914</v>
      </c>
      <c r="AY49" s="61">
        <f t="shared" si="195"/>
        <v>56505</v>
      </c>
      <c r="AZ49" s="36">
        <v>8600</v>
      </c>
      <c r="BA49" s="36">
        <v>16225</v>
      </c>
      <c r="BB49" s="36">
        <v>11660</v>
      </c>
      <c r="BC49" s="36">
        <v>12128</v>
      </c>
      <c r="BD49" s="61">
        <f t="shared" si="196"/>
        <v>48613</v>
      </c>
      <c r="BE49" s="36">
        <v>21368</v>
      </c>
      <c r="BF49" s="36">
        <v>29482</v>
      </c>
      <c r="BG49" s="36">
        <v>23765</v>
      </c>
      <c r="BH49" s="36">
        <v>13714</v>
      </c>
      <c r="BI49" s="61">
        <f t="shared" si="197"/>
        <v>88329</v>
      </c>
      <c r="BJ49" s="36">
        <v>16200</v>
      </c>
      <c r="BK49" s="36">
        <v>20092</v>
      </c>
      <c r="BL49" s="36">
        <v>18276</v>
      </c>
      <c r="BM49" s="36">
        <v>12132</v>
      </c>
      <c r="BN49" s="61">
        <f t="shared" si="198"/>
        <v>66700</v>
      </c>
      <c r="BO49" s="36">
        <v>14166</v>
      </c>
      <c r="BP49" s="36">
        <v>15967</v>
      </c>
      <c r="BQ49" s="36">
        <v>12479</v>
      </c>
      <c r="BR49" s="36">
        <v>13828</v>
      </c>
      <c r="BS49" s="61">
        <f t="shared" si="199"/>
        <v>56440</v>
      </c>
      <c r="BT49" s="36">
        <v>9873</v>
      </c>
      <c r="BU49" s="36">
        <v>13708</v>
      </c>
      <c r="BV49" s="36">
        <v>15079</v>
      </c>
      <c r="BW49" s="36">
        <v>11673</v>
      </c>
      <c r="BX49" s="61">
        <f t="shared" si="200"/>
        <v>50333</v>
      </c>
      <c r="BY49" s="36">
        <v>13666</v>
      </c>
      <c r="BZ49" s="36">
        <v>15525</v>
      </c>
      <c r="CA49" s="36">
        <v>16312</v>
      </c>
      <c r="CB49" s="40">
        <v>15165</v>
      </c>
      <c r="CC49" s="61">
        <f t="shared" si="201"/>
        <v>60668</v>
      </c>
      <c r="CD49" s="36">
        <v>12780</v>
      </c>
      <c r="CE49" s="101">
        <v>14079</v>
      </c>
      <c r="CF49" s="101">
        <v>11353</v>
      </c>
      <c r="CG49" s="101">
        <v>12000</v>
      </c>
      <c r="CH49" s="61">
        <f t="shared" si="202"/>
        <v>50212</v>
      </c>
      <c r="CI49" s="36">
        <v>11282</v>
      </c>
      <c r="CJ49" s="36">
        <v>13840</v>
      </c>
      <c r="CK49" s="36">
        <v>10856</v>
      </c>
      <c r="CL49" s="101">
        <v>12670</v>
      </c>
      <c r="CM49" s="61">
        <f t="shared" si="203"/>
        <v>48648</v>
      </c>
      <c r="CN49" s="36">
        <v>15791</v>
      </c>
      <c r="CO49" s="36">
        <v>10549</v>
      </c>
      <c r="CP49" s="36"/>
      <c r="CQ49" s="101"/>
      <c r="CR49" s="61">
        <f t="shared" si="204"/>
        <v>26340</v>
      </c>
    </row>
    <row r="50" spans="1:96" ht="11.15" customHeight="1" x14ac:dyDescent="0.2">
      <c r="A50" s="7" t="s">
        <v>213</v>
      </c>
      <c r="B50" s="11"/>
      <c r="C50" s="11"/>
      <c r="D50" s="11"/>
      <c r="E50" s="11"/>
      <c r="F50" s="61"/>
      <c r="G50" s="11"/>
      <c r="H50" s="11"/>
      <c r="I50" s="11"/>
      <c r="J50" s="11"/>
      <c r="K50" s="61"/>
      <c r="L50" s="11"/>
      <c r="M50" s="11"/>
      <c r="N50" s="11"/>
      <c r="O50" s="11"/>
      <c r="P50" s="61"/>
      <c r="Q50" s="11"/>
      <c r="R50" s="11"/>
      <c r="S50" s="11"/>
      <c r="T50" s="11"/>
      <c r="U50" s="61"/>
      <c r="V50" s="11"/>
      <c r="W50" s="11"/>
      <c r="X50" s="11"/>
      <c r="Y50" s="11"/>
      <c r="Z50" s="61"/>
      <c r="AA50" s="11"/>
      <c r="AB50" s="11"/>
      <c r="AC50" s="11"/>
      <c r="AD50" s="11"/>
      <c r="AE50" s="61"/>
      <c r="AF50" s="11"/>
      <c r="AG50" s="11"/>
      <c r="AH50" s="11"/>
      <c r="AI50" s="11"/>
      <c r="AJ50" s="65"/>
      <c r="AK50" s="36">
        <v>1544</v>
      </c>
      <c r="AL50" s="36">
        <v>3068</v>
      </c>
      <c r="AM50" s="36">
        <v>2580</v>
      </c>
      <c r="AN50" s="36">
        <v>11714</v>
      </c>
      <c r="AO50" s="61">
        <f t="shared" si="193"/>
        <v>18906</v>
      </c>
      <c r="AP50" s="36">
        <v>3860</v>
      </c>
      <c r="AQ50" s="36">
        <v>2465</v>
      </c>
      <c r="AR50" s="36">
        <v>4449</v>
      </c>
      <c r="AS50" s="36">
        <v>4299</v>
      </c>
      <c r="AT50" s="61">
        <f t="shared" si="194"/>
        <v>15073</v>
      </c>
      <c r="AU50" s="36">
        <v>3797</v>
      </c>
      <c r="AV50" s="36">
        <v>1812</v>
      </c>
      <c r="AW50" s="36">
        <v>6726</v>
      </c>
      <c r="AX50" s="36">
        <v>7931</v>
      </c>
      <c r="AY50" s="61">
        <f t="shared" si="195"/>
        <v>20266</v>
      </c>
      <c r="AZ50" s="36">
        <v>5466</v>
      </c>
      <c r="BA50" s="36">
        <v>3314</v>
      </c>
      <c r="BB50" s="36">
        <v>6275</v>
      </c>
      <c r="BC50" s="36">
        <v>7888</v>
      </c>
      <c r="BD50" s="61">
        <f t="shared" si="196"/>
        <v>22943</v>
      </c>
      <c r="BE50" s="36">
        <v>7845</v>
      </c>
      <c r="BF50" s="36">
        <v>6746</v>
      </c>
      <c r="BG50" s="36">
        <v>10562</v>
      </c>
      <c r="BH50" s="36">
        <v>15256</v>
      </c>
      <c r="BI50" s="61">
        <f t="shared" si="197"/>
        <v>40409</v>
      </c>
      <c r="BJ50" s="36">
        <v>9471</v>
      </c>
      <c r="BK50" s="36">
        <v>13428</v>
      </c>
      <c r="BL50" s="36">
        <v>14701</v>
      </c>
      <c r="BM50" s="36">
        <v>21730</v>
      </c>
      <c r="BN50" s="61">
        <f t="shared" si="198"/>
        <v>59330</v>
      </c>
      <c r="BO50" s="36">
        <v>32631</v>
      </c>
      <c r="BP50" s="36">
        <v>39383</v>
      </c>
      <c r="BQ50" s="36">
        <v>32929</v>
      </c>
      <c r="BR50" s="36">
        <v>36704</v>
      </c>
      <c r="BS50" s="61">
        <f t="shared" si="199"/>
        <v>141647</v>
      </c>
      <c r="BT50" s="36">
        <v>18634</v>
      </c>
      <c r="BU50" s="36">
        <v>24942</v>
      </c>
      <c r="BV50" s="36">
        <v>20841</v>
      </c>
      <c r="BW50" s="36">
        <v>29310</v>
      </c>
      <c r="BX50" s="61">
        <f t="shared" si="200"/>
        <v>93727</v>
      </c>
      <c r="BY50" s="36">
        <v>27116</v>
      </c>
      <c r="BZ50" s="36">
        <v>29597</v>
      </c>
      <c r="CA50" s="36">
        <v>32523</v>
      </c>
      <c r="CB50" s="40">
        <v>37406</v>
      </c>
      <c r="CC50" s="61">
        <f t="shared" si="201"/>
        <v>126642</v>
      </c>
      <c r="CD50" s="36">
        <v>34597</v>
      </c>
      <c r="CE50" s="101">
        <v>38443</v>
      </c>
      <c r="CF50" s="101">
        <v>35930</v>
      </c>
      <c r="CG50" s="101">
        <v>44501</v>
      </c>
      <c r="CH50" s="61">
        <f t="shared" si="202"/>
        <v>153471</v>
      </c>
      <c r="CI50" s="36">
        <v>41384</v>
      </c>
      <c r="CJ50" s="36">
        <v>38187</v>
      </c>
      <c r="CK50" s="36">
        <v>37493</v>
      </c>
      <c r="CL50" s="101">
        <v>44113</v>
      </c>
      <c r="CM50" s="61">
        <f t="shared" si="203"/>
        <v>161177</v>
      </c>
      <c r="CN50" s="36">
        <v>37503</v>
      </c>
      <c r="CO50" s="36">
        <v>38668</v>
      </c>
      <c r="CP50" s="36"/>
      <c r="CQ50" s="101"/>
      <c r="CR50" s="61">
        <f t="shared" si="204"/>
        <v>76171</v>
      </c>
    </row>
    <row r="51" spans="1:96" ht="11.15" customHeight="1" x14ac:dyDescent="0.2">
      <c r="A51" s="7" t="s">
        <v>159</v>
      </c>
      <c r="B51" s="11"/>
      <c r="C51" s="11"/>
      <c r="D51" s="11"/>
      <c r="E51" s="11"/>
      <c r="F51" s="61"/>
      <c r="G51" s="11"/>
      <c r="H51" s="11"/>
      <c r="I51" s="11"/>
      <c r="J51" s="11"/>
      <c r="K51" s="61"/>
      <c r="L51" s="11"/>
      <c r="M51" s="11"/>
      <c r="N51" s="11"/>
      <c r="O51" s="11"/>
      <c r="P51" s="61"/>
      <c r="Q51" s="11"/>
      <c r="R51" s="11"/>
      <c r="S51" s="11"/>
      <c r="T51" s="11"/>
      <c r="U51" s="61"/>
      <c r="V51" s="11"/>
      <c r="W51" s="11"/>
      <c r="X51" s="11"/>
      <c r="Y51" s="11"/>
      <c r="Z51" s="61"/>
      <c r="AA51" s="11"/>
      <c r="AB51" s="11"/>
      <c r="AC51" s="11"/>
      <c r="AD51" s="11"/>
      <c r="AE51" s="61"/>
      <c r="AF51" s="11"/>
      <c r="AG51" s="11"/>
      <c r="AH51" s="11"/>
      <c r="AI51" s="11"/>
      <c r="AJ51" s="65"/>
      <c r="AK51" s="36">
        <v>13974</v>
      </c>
      <c r="AL51" s="36">
        <v>15412</v>
      </c>
      <c r="AM51" s="36">
        <v>16083</v>
      </c>
      <c r="AN51" s="36">
        <v>17698</v>
      </c>
      <c r="AO51" s="61">
        <f t="shared" si="193"/>
        <v>63167</v>
      </c>
      <c r="AP51" s="36">
        <v>12417</v>
      </c>
      <c r="AQ51" s="36">
        <v>21379</v>
      </c>
      <c r="AR51" s="36">
        <v>13097</v>
      </c>
      <c r="AS51" s="36">
        <v>24155</v>
      </c>
      <c r="AT51" s="61">
        <f t="shared" si="194"/>
        <v>71048</v>
      </c>
      <c r="AU51" s="36">
        <v>15353</v>
      </c>
      <c r="AV51" s="36">
        <v>22754</v>
      </c>
      <c r="AW51" s="36">
        <v>20604</v>
      </c>
      <c r="AX51" s="36">
        <v>26670</v>
      </c>
      <c r="AY51" s="61">
        <f t="shared" si="195"/>
        <v>85381</v>
      </c>
      <c r="AZ51" s="36">
        <v>20045</v>
      </c>
      <c r="BA51" s="36">
        <v>24631</v>
      </c>
      <c r="BB51" s="36">
        <v>32648</v>
      </c>
      <c r="BC51" s="36">
        <v>36929</v>
      </c>
      <c r="BD51" s="61">
        <f t="shared" si="196"/>
        <v>114253</v>
      </c>
      <c r="BE51" s="36">
        <v>33097</v>
      </c>
      <c r="BF51" s="36">
        <v>36562</v>
      </c>
      <c r="BG51" s="36">
        <v>40607</v>
      </c>
      <c r="BH51" s="36">
        <v>35015</v>
      </c>
      <c r="BI51" s="61">
        <f t="shared" si="197"/>
        <v>145281</v>
      </c>
      <c r="BJ51" s="36">
        <v>39967</v>
      </c>
      <c r="BK51" s="36">
        <v>41464</v>
      </c>
      <c r="BL51" s="36">
        <v>41398</v>
      </c>
      <c r="BM51" s="36">
        <v>43477</v>
      </c>
      <c r="BN51" s="61">
        <f t="shared" si="198"/>
        <v>166306</v>
      </c>
      <c r="BO51" s="36">
        <v>42196</v>
      </c>
      <c r="BP51" s="36">
        <v>38780</v>
      </c>
      <c r="BQ51" s="36">
        <v>53065</v>
      </c>
      <c r="BR51" s="36">
        <v>53408</v>
      </c>
      <c r="BS51" s="61">
        <f t="shared" si="199"/>
        <v>187449</v>
      </c>
      <c r="BT51" s="36">
        <v>58327</v>
      </c>
      <c r="BU51" s="36">
        <v>47014</v>
      </c>
      <c r="BV51" s="36">
        <v>51403</v>
      </c>
      <c r="BW51" s="36">
        <v>44614</v>
      </c>
      <c r="BX51" s="61">
        <f t="shared" si="200"/>
        <v>201358</v>
      </c>
      <c r="BY51" s="36">
        <v>63044</v>
      </c>
      <c r="BZ51" s="36">
        <v>56842</v>
      </c>
      <c r="CA51" s="36">
        <v>68957</v>
      </c>
      <c r="CB51" s="40">
        <v>75822</v>
      </c>
      <c r="CC51" s="61">
        <f t="shared" si="201"/>
        <v>264665</v>
      </c>
      <c r="CD51" s="36">
        <v>64311</v>
      </c>
      <c r="CE51" s="101">
        <v>72729</v>
      </c>
      <c r="CF51" s="101">
        <v>73101</v>
      </c>
      <c r="CG51" s="101">
        <v>74233</v>
      </c>
      <c r="CH51" s="61">
        <f t="shared" si="202"/>
        <v>284374</v>
      </c>
      <c r="CI51" s="36">
        <v>70488</v>
      </c>
      <c r="CJ51" s="36">
        <v>66580</v>
      </c>
      <c r="CK51" s="36">
        <v>71183</v>
      </c>
      <c r="CL51" s="101">
        <v>87129</v>
      </c>
      <c r="CM51" s="61">
        <f t="shared" si="203"/>
        <v>295380</v>
      </c>
      <c r="CN51" s="36">
        <v>56889</v>
      </c>
      <c r="CO51" s="36">
        <v>67909</v>
      </c>
      <c r="CP51" s="36"/>
      <c r="CQ51" s="101"/>
      <c r="CR51" s="61">
        <f t="shared" si="204"/>
        <v>124798</v>
      </c>
    </row>
    <row r="52" spans="1:96" s="2" customFormat="1" ht="11.15" customHeight="1" x14ac:dyDescent="0.25">
      <c r="A52" s="6" t="s">
        <v>14</v>
      </c>
      <c r="B52" s="31"/>
      <c r="C52" s="31"/>
      <c r="D52" s="31"/>
      <c r="E52" s="31"/>
      <c r="F52" s="76"/>
      <c r="G52" s="31"/>
      <c r="H52" s="31"/>
      <c r="I52" s="31"/>
      <c r="J52" s="31"/>
      <c r="K52" s="76"/>
      <c r="L52" s="31"/>
      <c r="M52" s="31"/>
      <c r="N52" s="31"/>
      <c r="O52" s="31"/>
      <c r="P52" s="76"/>
      <c r="Q52" s="31"/>
      <c r="R52" s="31"/>
      <c r="S52" s="31"/>
      <c r="T52" s="31"/>
      <c r="U52" s="76"/>
      <c r="V52" s="31"/>
      <c r="W52" s="31"/>
      <c r="X52" s="31"/>
      <c r="Y52" s="31"/>
      <c r="Z52" s="76"/>
      <c r="AA52" s="31"/>
      <c r="AB52" s="31"/>
      <c r="AC52" s="31"/>
      <c r="AD52" s="31"/>
      <c r="AE52" s="76"/>
      <c r="AF52" s="31"/>
      <c r="AG52" s="31"/>
      <c r="AH52" s="31"/>
      <c r="AI52" s="31"/>
      <c r="AJ52" s="76"/>
      <c r="AK52" s="31">
        <f>SUM(AK46:AK51)</f>
        <v>141852</v>
      </c>
      <c r="AL52" s="31">
        <f>SUM(AL46:AL51)</f>
        <v>168171</v>
      </c>
      <c r="AM52" s="31">
        <f>SUM(AM46:AM51)</f>
        <v>172152</v>
      </c>
      <c r="AN52" s="31">
        <f>SUM(AN46:AN51)</f>
        <v>165859</v>
      </c>
      <c r="AO52" s="76">
        <f>SUM(AK52:AN52)</f>
        <v>648034</v>
      </c>
      <c r="AP52" s="31">
        <f>SUM(AP46:AP51)</f>
        <v>170575</v>
      </c>
      <c r="AQ52" s="31">
        <f>SUM(AQ46:AQ51)</f>
        <v>192204</v>
      </c>
      <c r="AR52" s="31">
        <f>SUM(AR46:AR51)</f>
        <v>199651</v>
      </c>
      <c r="AS52" s="31">
        <f>SUM(AS46:AS51)</f>
        <v>207402</v>
      </c>
      <c r="AT52" s="76">
        <f>SUM(AP52:AS52)</f>
        <v>769832</v>
      </c>
      <c r="AU52" s="31">
        <f>SUM(AU46:AU51)</f>
        <v>198960</v>
      </c>
      <c r="AV52" s="31">
        <f>SUM(AV46:AV51)</f>
        <v>235138</v>
      </c>
      <c r="AW52" s="31">
        <f>SUM(AW46:AW51)</f>
        <v>243541</v>
      </c>
      <c r="AX52" s="31">
        <f>SUM(AX46:AX51)</f>
        <v>223626</v>
      </c>
      <c r="AY52" s="76">
        <f>SUM(AU52:AX52)</f>
        <v>901265</v>
      </c>
      <c r="AZ52" s="31">
        <f t="shared" ref="AZ52:BT52" si="205">SUM(AZ46:AZ51)</f>
        <v>207248</v>
      </c>
      <c r="BA52" s="31">
        <f t="shared" si="205"/>
        <v>252787</v>
      </c>
      <c r="BB52" s="31">
        <f t="shared" si="205"/>
        <v>266017</v>
      </c>
      <c r="BC52" s="31">
        <f t="shared" si="205"/>
        <v>280121</v>
      </c>
      <c r="BD52" s="76">
        <f t="shared" si="205"/>
        <v>1006173</v>
      </c>
      <c r="BE52" s="31">
        <f t="shared" si="205"/>
        <v>285846</v>
      </c>
      <c r="BF52" s="31">
        <f t="shared" si="205"/>
        <v>369373</v>
      </c>
      <c r="BG52" s="31">
        <f t="shared" si="205"/>
        <v>392615</v>
      </c>
      <c r="BH52" s="31">
        <f t="shared" si="205"/>
        <v>361055</v>
      </c>
      <c r="BI52" s="76">
        <f t="shared" si="205"/>
        <v>1408889</v>
      </c>
      <c r="BJ52" s="31">
        <f t="shared" si="205"/>
        <v>359864</v>
      </c>
      <c r="BK52" s="31">
        <f t="shared" si="205"/>
        <v>413613</v>
      </c>
      <c r="BL52" s="31">
        <f t="shared" si="205"/>
        <v>356346</v>
      </c>
      <c r="BM52" s="31">
        <f t="shared" si="205"/>
        <v>330051</v>
      </c>
      <c r="BN52" s="76">
        <f t="shared" si="205"/>
        <v>1459874</v>
      </c>
      <c r="BO52" s="31">
        <f t="shared" ref="BO52" si="206">SUM(BO46:BO51)</f>
        <v>315047</v>
      </c>
      <c r="BP52" s="31">
        <f t="shared" si="205"/>
        <v>363769</v>
      </c>
      <c r="BQ52" s="31">
        <f t="shared" ref="BQ52" si="207">SUM(BQ46:BQ51)</f>
        <v>329138</v>
      </c>
      <c r="BR52" s="31">
        <f t="shared" si="205"/>
        <v>306627</v>
      </c>
      <c r="BS52" s="76">
        <f t="shared" si="205"/>
        <v>1314581</v>
      </c>
      <c r="BT52" s="31">
        <f t="shared" si="205"/>
        <v>249242</v>
      </c>
      <c r="BU52" s="31">
        <f t="shared" ref="BU52:BW52" si="208">SUM(BU46:BU51)</f>
        <v>296411</v>
      </c>
      <c r="BV52" s="31">
        <f t="shared" si="208"/>
        <v>318441</v>
      </c>
      <c r="BW52" s="31">
        <f t="shared" si="208"/>
        <v>336630</v>
      </c>
      <c r="BX52" s="76">
        <f t="shared" ref="BX52:CB52" si="209">SUM(BX46:BX51)</f>
        <v>1200724</v>
      </c>
      <c r="BY52" s="31">
        <f t="shared" si="209"/>
        <v>345585</v>
      </c>
      <c r="BZ52" s="31">
        <f t="shared" si="209"/>
        <v>371658</v>
      </c>
      <c r="CA52" s="31">
        <f t="shared" ref="CA52" si="210">SUM(CA46:CA51)</f>
        <v>379150</v>
      </c>
      <c r="CB52" s="31">
        <f t="shared" si="209"/>
        <v>364467</v>
      </c>
      <c r="CC52" s="76">
        <f t="shared" ref="CC52:CE52" si="211">SUM(CC46:CC51)</f>
        <v>1460860</v>
      </c>
      <c r="CD52" s="31">
        <f t="shared" si="211"/>
        <v>369979</v>
      </c>
      <c r="CE52" s="31">
        <f t="shared" si="211"/>
        <v>377023</v>
      </c>
      <c r="CF52" s="31">
        <f t="shared" ref="CF52:CI52" si="212">SUM(CF46:CF51)</f>
        <v>349006</v>
      </c>
      <c r="CG52" s="31">
        <f t="shared" si="212"/>
        <v>333539</v>
      </c>
      <c r="CH52" s="76">
        <f t="shared" ref="CH52" si="213">SUM(CH46:CH51)</f>
        <v>1429547</v>
      </c>
      <c r="CI52" s="31">
        <f t="shared" si="212"/>
        <v>347174</v>
      </c>
      <c r="CJ52" s="31">
        <f t="shared" ref="CJ52:CL52" si="214">SUM(CJ46:CJ51)</f>
        <v>339971</v>
      </c>
      <c r="CK52" s="31">
        <f t="shared" si="214"/>
        <v>301401</v>
      </c>
      <c r="CL52" s="31">
        <f t="shared" si="214"/>
        <v>298893</v>
      </c>
      <c r="CM52" s="76">
        <f t="shared" ref="CM52" si="215">SUM(CM46:CM51)</f>
        <v>1287439</v>
      </c>
      <c r="CN52" s="31">
        <f t="shared" ref="CN52:CO52" si="216">SUM(CN46:CN51)</f>
        <v>252009</v>
      </c>
      <c r="CO52" s="31">
        <f t="shared" si="216"/>
        <v>257645</v>
      </c>
      <c r="CP52" s="31"/>
      <c r="CQ52" s="31"/>
      <c r="CR52" s="76">
        <f t="shared" ref="CR52" si="217">SUM(CR46:CR51)</f>
        <v>509654</v>
      </c>
    </row>
    <row r="53" spans="1:96" s="2" customFormat="1" ht="11.15" customHeight="1" x14ac:dyDescent="0.25">
      <c r="A53" s="21"/>
      <c r="B53" s="11"/>
      <c r="C53" s="11"/>
      <c r="D53" s="11"/>
      <c r="E53" s="11"/>
      <c r="F53" s="61"/>
      <c r="G53" s="11"/>
      <c r="H53" s="11"/>
      <c r="I53" s="11"/>
      <c r="J53" s="11"/>
      <c r="K53" s="61"/>
      <c r="L53" s="11"/>
      <c r="M53" s="11"/>
      <c r="N53" s="11"/>
      <c r="O53" s="11"/>
      <c r="P53" s="61"/>
      <c r="Q53" s="11"/>
      <c r="R53" s="11"/>
      <c r="S53" s="11"/>
      <c r="T53" s="11"/>
      <c r="U53" s="61"/>
      <c r="V53" s="11"/>
      <c r="W53" s="11"/>
      <c r="X53" s="11"/>
      <c r="Y53" s="11"/>
      <c r="Z53" s="61"/>
      <c r="AA53" s="11"/>
      <c r="AB53" s="11"/>
      <c r="AC53" s="11"/>
      <c r="AD53" s="11"/>
      <c r="AE53" s="61"/>
      <c r="AF53" s="11"/>
      <c r="AG53" s="11"/>
      <c r="AH53" s="11"/>
      <c r="AI53" s="11"/>
      <c r="AJ53" s="61"/>
      <c r="AK53" s="11"/>
      <c r="AL53" s="11"/>
      <c r="AM53" s="11"/>
      <c r="AN53" s="11"/>
      <c r="AO53" s="61"/>
      <c r="AP53" s="11"/>
      <c r="AQ53" s="11"/>
      <c r="AR53" s="11"/>
      <c r="AS53" s="11"/>
      <c r="AT53" s="61"/>
      <c r="AU53" s="11"/>
      <c r="AV53" s="11"/>
      <c r="AW53" s="11"/>
      <c r="AX53" s="11"/>
      <c r="AY53" s="61"/>
      <c r="AZ53" s="11"/>
      <c r="BA53" s="11"/>
      <c r="BB53" s="11"/>
      <c r="BC53" s="11"/>
      <c r="BD53" s="61"/>
      <c r="BE53" s="11"/>
      <c r="BF53" s="11"/>
      <c r="BG53" s="11"/>
      <c r="BH53" s="11"/>
      <c r="BI53" s="61"/>
      <c r="BJ53" s="11"/>
      <c r="BK53" s="11"/>
      <c r="BL53" s="11"/>
      <c r="BM53" s="11"/>
      <c r="BN53" s="61"/>
      <c r="BO53" s="11"/>
      <c r="BP53" s="11"/>
      <c r="BQ53" s="11"/>
      <c r="BR53" s="11"/>
      <c r="BS53" s="61"/>
      <c r="BT53" s="11"/>
      <c r="BU53" s="11"/>
      <c r="BV53" s="11"/>
      <c r="BW53" s="11"/>
      <c r="BX53" s="61"/>
      <c r="BY53" s="11"/>
      <c r="BZ53" s="11"/>
      <c r="CA53" s="11"/>
      <c r="CB53" s="11"/>
      <c r="CC53" s="61"/>
      <c r="CD53" s="11"/>
      <c r="CE53" s="11"/>
      <c r="CF53" s="11"/>
      <c r="CG53" s="11"/>
      <c r="CH53" s="61"/>
      <c r="CI53" s="11"/>
      <c r="CJ53" s="11"/>
      <c r="CK53" s="11"/>
      <c r="CL53" s="11"/>
      <c r="CM53" s="61"/>
      <c r="CN53" s="11"/>
      <c r="CO53" s="11"/>
      <c r="CP53" s="11"/>
      <c r="CQ53" s="11"/>
      <c r="CR53" s="61"/>
    </row>
    <row r="54" spans="1:96" s="30" customFormat="1" ht="11.15" customHeight="1" x14ac:dyDescent="0.25">
      <c r="A54" s="35" t="s">
        <v>113</v>
      </c>
      <c r="B54" s="28"/>
      <c r="C54" s="28"/>
      <c r="D54" s="29"/>
      <c r="E54" s="29"/>
      <c r="F54" s="75"/>
      <c r="G54" s="28"/>
      <c r="H54" s="28"/>
      <c r="I54" s="29"/>
      <c r="J54" s="29"/>
      <c r="K54" s="75"/>
      <c r="L54" s="28"/>
      <c r="M54" s="28"/>
      <c r="N54" s="29"/>
      <c r="O54" s="29"/>
      <c r="P54" s="75"/>
      <c r="Q54" s="28"/>
      <c r="R54" s="28"/>
      <c r="S54" s="29"/>
      <c r="T54" s="29"/>
      <c r="U54" s="75"/>
      <c r="V54" s="28"/>
      <c r="W54" s="28"/>
      <c r="X54" s="29"/>
      <c r="Y54" s="29"/>
      <c r="Z54" s="75"/>
      <c r="AA54" s="28"/>
      <c r="AB54" s="28"/>
      <c r="AC54" s="29"/>
      <c r="AD54" s="29"/>
      <c r="AE54" s="75"/>
      <c r="AF54" s="28"/>
      <c r="AG54" s="28"/>
      <c r="AH54" s="29"/>
      <c r="AI54" s="29"/>
      <c r="AJ54" s="75"/>
      <c r="AK54" s="28"/>
      <c r="AL54" s="28"/>
      <c r="AM54" s="29"/>
      <c r="AN54" s="29"/>
      <c r="AO54" s="75"/>
      <c r="AP54" s="28"/>
      <c r="AQ54" s="28"/>
      <c r="AR54" s="29"/>
      <c r="AS54" s="29"/>
      <c r="AT54" s="75"/>
      <c r="AU54" s="28"/>
      <c r="AV54" s="28"/>
      <c r="AW54" s="29"/>
      <c r="AX54" s="29"/>
      <c r="AY54" s="75"/>
      <c r="AZ54" s="28"/>
      <c r="BA54" s="28"/>
      <c r="BB54" s="29"/>
      <c r="BC54" s="29"/>
      <c r="BD54" s="75"/>
      <c r="BE54" s="28"/>
      <c r="BF54" s="28"/>
      <c r="BG54" s="29"/>
      <c r="BH54" s="29"/>
      <c r="BI54" s="75"/>
      <c r="BJ54" s="28"/>
      <c r="BK54" s="28"/>
      <c r="BL54" s="29"/>
      <c r="BM54" s="29"/>
      <c r="BN54" s="75"/>
      <c r="BO54" s="28"/>
      <c r="BP54" s="28"/>
      <c r="BQ54" s="28"/>
      <c r="BR54" s="29"/>
      <c r="BS54" s="75"/>
      <c r="BT54" s="28"/>
      <c r="BU54" s="28"/>
      <c r="BV54" s="28"/>
      <c r="BW54" s="29"/>
      <c r="BX54" s="75"/>
      <c r="BY54" s="28"/>
      <c r="BZ54" s="28"/>
      <c r="CA54" s="28"/>
      <c r="CB54" s="29"/>
      <c r="CC54" s="75"/>
      <c r="CD54" s="28"/>
      <c r="CE54" s="28"/>
      <c r="CF54" s="28"/>
      <c r="CG54" s="28"/>
      <c r="CH54" s="75"/>
      <c r="CI54" s="28"/>
      <c r="CJ54" s="28"/>
      <c r="CK54" s="28"/>
      <c r="CL54" s="28"/>
      <c r="CM54" s="75"/>
      <c r="CN54" s="28"/>
      <c r="CO54" s="28"/>
      <c r="CP54" s="28"/>
      <c r="CQ54" s="28"/>
      <c r="CR54" s="75"/>
    </row>
    <row r="55" spans="1:96" s="30" customFormat="1" ht="11.15" customHeight="1" x14ac:dyDescent="0.2">
      <c r="A55" s="7" t="s">
        <v>160</v>
      </c>
      <c r="B55" s="8"/>
      <c r="C55" s="8"/>
      <c r="D55" s="8"/>
      <c r="E55" s="8"/>
      <c r="F55" s="58"/>
      <c r="G55" s="8"/>
      <c r="H55" s="8"/>
      <c r="I55" s="8"/>
      <c r="J55" s="8"/>
      <c r="K55" s="58"/>
      <c r="L55" s="8"/>
      <c r="M55" s="8"/>
      <c r="N55" s="8"/>
      <c r="O55" s="8"/>
      <c r="P55" s="58"/>
      <c r="Q55" s="8"/>
      <c r="R55" s="8"/>
      <c r="S55" s="8"/>
      <c r="T55" s="8"/>
      <c r="U55" s="58"/>
      <c r="V55" s="8"/>
      <c r="W55" s="8"/>
      <c r="X55" s="8"/>
      <c r="Y55" s="8"/>
      <c r="Z55" s="58"/>
      <c r="AA55" s="8"/>
      <c r="AB55" s="8"/>
      <c r="AC55" s="8"/>
      <c r="AD55" s="8"/>
      <c r="AE55" s="58"/>
      <c r="AF55" s="8"/>
      <c r="AG55" s="8"/>
      <c r="AH55" s="8"/>
      <c r="AI55" s="8"/>
      <c r="AJ55" s="67"/>
      <c r="AK55" s="8"/>
      <c r="AL55" s="8"/>
      <c r="AM55" s="8"/>
      <c r="AN55" s="8"/>
      <c r="AO55" s="67">
        <f t="shared" ref="AO55:BN55" si="218">AO46/AO$52</f>
        <v>0.52895990025214723</v>
      </c>
      <c r="AP55" s="46">
        <f t="shared" si="218"/>
        <v>0.58305730617030627</v>
      </c>
      <c r="AQ55" s="46">
        <f t="shared" si="218"/>
        <v>0.53952050945870011</v>
      </c>
      <c r="AR55" s="46">
        <f t="shared" si="218"/>
        <v>0.52813158962389373</v>
      </c>
      <c r="AS55" s="46">
        <f t="shared" si="218"/>
        <v>0.55635432638065208</v>
      </c>
      <c r="AT55" s="67">
        <f t="shared" si="218"/>
        <v>0.55074873478888897</v>
      </c>
      <c r="AU55" s="46">
        <f t="shared" si="218"/>
        <v>0.57456775231202251</v>
      </c>
      <c r="AV55" s="46">
        <f t="shared" si="218"/>
        <v>0.56043684984987541</v>
      </c>
      <c r="AW55" s="46">
        <f t="shared" si="218"/>
        <v>0.53755630468791704</v>
      </c>
      <c r="AX55" s="46">
        <f t="shared" si="218"/>
        <v>0.54816971192973984</v>
      </c>
      <c r="AY55" s="67">
        <f t="shared" si="218"/>
        <v>0.55432974763249432</v>
      </c>
      <c r="AZ55" s="46">
        <f t="shared" si="218"/>
        <v>0.5704277001466842</v>
      </c>
      <c r="BA55" s="46">
        <f t="shared" si="218"/>
        <v>0.5593879432091049</v>
      </c>
      <c r="BB55" s="46">
        <f t="shared" si="218"/>
        <v>0.57515873045707611</v>
      </c>
      <c r="BC55" s="46">
        <f t="shared" si="218"/>
        <v>0.59274384997911622</v>
      </c>
      <c r="BD55" s="67">
        <f t="shared" si="218"/>
        <v>0.57511779783397088</v>
      </c>
      <c r="BE55" s="46">
        <f t="shared" si="218"/>
        <v>0.58753314721913197</v>
      </c>
      <c r="BF55" s="46">
        <f t="shared" si="218"/>
        <v>0.60157076992633463</v>
      </c>
      <c r="BG55" s="46">
        <f t="shared" si="218"/>
        <v>0.62208270188352455</v>
      </c>
      <c r="BH55" s="46">
        <f t="shared" si="218"/>
        <v>0.64554153799282654</v>
      </c>
      <c r="BI55" s="67">
        <f t="shared" si="218"/>
        <v>0.6157071280988069</v>
      </c>
      <c r="BJ55" s="46">
        <f t="shared" si="218"/>
        <v>0.64072538514549937</v>
      </c>
      <c r="BK55" s="46">
        <f t="shared" si="218"/>
        <v>0.64329457729810235</v>
      </c>
      <c r="BL55" s="46">
        <f t="shared" si="218"/>
        <v>0.63831781470817683</v>
      </c>
      <c r="BM55" s="46">
        <f t="shared" si="218"/>
        <v>0.56238278326682845</v>
      </c>
      <c r="BN55" s="67">
        <f t="shared" si="218"/>
        <v>0.6231537790247651</v>
      </c>
      <c r="BO55" s="46">
        <f t="shared" ref="BO55:BP55" si="219">BO46/BO$52</f>
        <v>0.56822950226474145</v>
      </c>
      <c r="BP55" s="46">
        <f t="shared" si="219"/>
        <v>0.58666626348039552</v>
      </c>
      <c r="BQ55" s="46">
        <f t="shared" ref="BQ55:BU55" si="220">BQ46/BQ$52</f>
        <v>0.56184336053570239</v>
      </c>
      <c r="BR55" s="46">
        <f t="shared" si="220"/>
        <v>0.51329791570866234</v>
      </c>
      <c r="BS55" s="67">
        <f t="shared" si="220"/>
        <v>0.55891953405685924</v>
      </c>
      <c r="BT55" s="46">
        <f t="shared" si="220"/>
        <v>0.47871546529076159</v>
      </c>
      <c r="BU55" s="46">
        <f t="shared" si="220"/>
        <v>0.531282577232289</v>
      </c>
      <c r="BV55" s="46">
        <f t="shared" ref="BV55:BW55" si="221">BV46/BV$52</f>
        <v>0.57903033843003882</v>
      </c>
      <c r="BW55" s="46">
        <f t="shared" si="221"/>
        <v>0.54921130024062026</v>
      </c>
      <c r="BX55" s="67">
        <f t="shared" ref="BX55:BY55" si="222">BX46/BX$52</f>
        <v>0.53806037024328657</v>
      </c>
      <c r="BY55" s="46">
        <f t="shared" si="222"/>
        <v>0.49331423528220264</v>
      </c>
      <c r="BZ55" s="46">
        <f t="shared" ref="BZ55:CA55" si="223">BZ46/BZ$52</f>
        <v>0.51053387792002325</v>
      </c>
      <c r="CA55" s="46">
        <f t="shared" si="223"/>
        <v>0.46890940261110381</v>
      </c>
      <c r="CB55" s="46">
        <f t="shared" ref="CB55" si="224">CB46/CB$52</f>
        <v>0.40989444860577229</v>
      </c>
      <c r="CC55" s="67">
        <f t="shared" ref="CC55:CH59" si="225">CC46/CC$52</f>
        <v>0.47054885478416825</v>
      </c>
      <c r="CD55" s="46">
        <f t="shared" si="225"/>
        <v>0.45324464361490785</v>
      </c>
      <c r="CE55" s="46">
        <f t="shared" ref="CE55" si="226">CE46/CE$52</f>
        <v>0.43232640979462794</v>
      </c>
      <c r="CF55" s="46">
        <f>CF46/CF$52</f>
        <v>0.43772026841945411</v>
      </c>
      <c r="CG55" s="46">
        <f>CG46/CG$52</f>
        <v>0.39059600226660152</v>
      </c>
      <c r="CH55" s="67">
        <f t="shared" ref="CH55" si="227">CH46/CH$52</f>
        <v>0.42932061695068435</v>
      </c>
      <c r="CI55" s="46">
        <f>CI46/CI$52</f>
        <v>0.4436795382142672</v>
      </c>
      <c r="CJ55" s="46">
        <f>CJ46/CJ$52</f>
        <v>0.42942486270887809</v>
      </c>
      <c r="CK55" s="46">
        <f>CK46/CK$52</f>
        <v>0.39652157756609963</v>
      </c>
      <c r="CL55" s="46">
        <f>CL46/CL$52</f>
        <v>0.35277841903289808</v>
      </c>
      <c r="CM55" s="67">
        <f t="shared" ref="CM55" si="228">CM46/CM$52</f>
        <v>0.40777155267162174</v>
      </c>
      <c r="CN55" s="46">
        <f>CN46/CN$52</f>
        <v>0.36027681551055718</v>
      </c>
      <c r="CO55" s="46">
        <f>CO46/CO$52</f>
        <v>0.31914067806477908</v>
      </c>
      <c r="CP55" s="46"/>
      <c r="CQ55" s="46"/>
      <c r="CR55" s="67">
        <f t="shared" ref="CR55" si="229">CR46/CR$52</f>
        <v>0.33948129515318237</v>
      </c>
    </row>
    <row r="56" spans="1:96" ht="11.15" customHeight="1" x14ac:dyDescent="0.2">
      <c r="A56" s="7" t="s">
        <v>161</v>
      </c>
      <c r="B56" s="11"/>
      <c r="C56" s="11"/>
      <c r="D56" s="11"/>
      <c r="E56" s="11"/>
      <c r="F56" s="61"/>
      <c r="G56" s="11"/>
      <c r="H56" s="11"/>
      <c r="I56" s="11"/>
      <c r="J56" s="11"/>
      <c r="K56" s="61"/>
      <c r="L56" s="11"/>
      <c r="M56" s="11"/>
      <c r="N56" s="11"/>
      <c r="O56" s="11"/>
      <c r="P56" s="61"/>
      <c r="Q56" s="11"/>
      <c r="R56" s="11"/>
      <c r="S56" s="11"/>
      <c r="T56" s="11"/>
      <c r="U56" s="61"/>
      <c r="V56" s="11"/>
      <c r="W56" s="11"/>
      <c r="X56" s="11"/>
      <c r="Y56" s="11"/>
      <c r="Z56" s="61"/>
      <c r="AA56" s="11"/>
      <c r="AB56" s="11"/>
      <c r="AC56" s="11"/>
      <c r="AD56" s="11"/>
      <c r="AE56" s="61"/>
      <c r="AF56" s="11"/>
      <c r="AG56" s="11"/>
      <c r="AH56" s="11"/>
      <c r="AI56" s="11"/>
      <c r="AJ56" s="67"/>
      <c r="AK56" s="11"/>
      <c r="AL56" s="11"/>
      <c r="AM56" s="11"/>
      <c r="AN56" s="11"/>
      <c r="AO56" s="67">
        <f t="shared" ref="AO56:BN56" si="230">AO47/AO$52</f>
        <v>0.1034112407682313</v>
      </c>
      <c r="AP56" s="46">
        <f t="shared" si="230"/>
        <v>0.12072695295324637</v>
      </c>
      <c r="AQ56" s="46">
        <f t="shared" si="230"/>
        <v>0.1256997773199309</v>
      </c>
      <c r="AR56" s="46">
        <f t="shared" si="230"/>
        <v>0.11942840256247152</v>
      </c>
      <c r="AS56" s="46">
        <f t="shared" si="230"/>
        <v>0.11971437112467576</v>
      </c>
      <c r="AT56" s="67">
        <f t="shared" si="230"/>
        <v>0.12135894584792527</v>
      </c>
      <c r="AU56" s="46">
        <f t="shared" si="230"/>
        <v>0.12873441897868917</v>
      </c>
      <c r="AV56" s="46">
        <f t="shared" si="230"/>
        <v>0.13158655768102137</v>
      </c>
      <c r="AW56" s="46">
        <f t="shared" si="230"/>
        <v>0.12482087205029133</v>
      </c>
      <c r="AX56" s="46">
        <f t="shared" si="230"/>
        <v>0.12395249210735781</v>
      </c>
      <c r="AY56" s="67">
        <f t="shared" si="230"/>
        <v>0.12723449817756155</v>
      </c>
      <c r="AZ56" s="46">
        <f t="shared" si="230"/>
        <v>0.12686250289508222</v>
      </c>
      <c r="BA56" s="46">
        <f t="shared" si="230"/>
        <v>0.12096745481373647</v>
      </c>
      <c r="BB56" s="46">
        <f t="shared" si="230"/>
        <v>0.10526770845472282</v>
      </c>
      <c r="BC56" s="46">
        <f t="shared" si="230"/>
        <v>9.9428461272093135E-2</v>
      </c>
      <c r="BD56" s="67">
        <f t="shared" si="230"/>
        <v>0.11203441157733313</v>
      </c>
      <c r="BE56" s="46">
        <f t="shared" si="230"/>
        <v>8.0938687265170756E-2</v>
      </c>
      <c r="BF56" s="46">
        <f t="shared" si="230"/>
        <v>9.0079675558310979E-2</v>
      </c>
      <c r="BG56" s="46">
        <f t="shared" si="230"/>
        <v>8.5480687187193566E-2</v>
      </c>
      <c r="BH56" s="46">
        <f t="shared" si="230"/>
        <v>7.9586212626885103E-2</v>
      </c>
      <c r="BI56" s="67">
        <f t="shared" si="230"/>
        <v>8.4254330894768859E-2</v>
      </c>
      <c r="BJ56" s="46">
        <f t="shared" si="230"/>
        <v>7.0579441122201714E-2</v>
      </c>
      <c r="BK56" s="46">
        <f t="shared" si="230"/>
        <v>7.4881592213010717E-2</v>
      </c>
      <c r="BL56" s="46">
        <f t="shared" si="230"/>
        <v>5.3602397669680592E-2</v>
      </c>
      <c r="BM56" s="46">
        <f t="shared" si="230"/>
        <v>6.1481407418853447E-2</v>
      </c>
      <c r="BN56" s="67">
        <f t="shared" si="230"/>
        <v>6.559744197101941E-2</v>
      </c>
      <c r="BO56" s="46">
        <f t="shared" ref="BO56:BP56" si="231">BO47/BO$52</f>
        <v>4.9510073100204097E-2</v>
      </c>
      <c r="BP56" s="46">
        <f t="shared" si="231"/>
        <v>4.2375793429346643E-2</v>
      </c>
      <c r="BQ56" s="46">
        <f t="shared" ref="BQ56:BU56" si="232">BQ47/BQ$52</f>
        <v>3.6127703273399002E-2</v>
      </c>
      <c r="BR56" s="46">
        <f t="shared" si="232"/>
        <v>4.4748179384072502E-2</v>
      </c>
      <c r="BS56" s="67">
        <f t="shared" si="232"/>
        <v>4.3074561400172372E-2</v>
      </c>
      <c r="BT56" s="46">
        <f t="shared" si="232"/>
        <v>4.514889143884257E-2</v>
      </c>
      <c r="BU56" s="46">
        <f t="shared" si="232"/>
        <v>3.6071535806700833E-2</v>
      </c>
      <c r="BV56" s="46">
        <f t="shared" ref="BV56:BW56" si="233">BV47/BV$52</f>
        <v>3.6917356747403755E-2</v>
      </c>
      <c r="BW56" s="46">
        <f t="shared" si="233"/>
        <v>5.0782758518254464E-2</v>
      </c>
      <c r="BX56" s="67">
        <f t="shared" ref="BX56:BY56" si="234">BX47/BX$52</f>
        <v>4.2304476299299426E-2</v>
      </c>
      <c r="BY56" s="46">
        <f t="shared" si="234"/>
        <v>4.5956855766309299E-2</v>
      </c>
      <c r="BZ56" s="46">
        <f t="shared" ref="BZ56:CA56" si="235">BZ47/BZ$52</f>
        <v>4.8907866909901038E-2</v>
      </c>
      <c r="CA56" s="46">
        <f t="shared" si="235"/>
        <v>6.4670974548331789E-2</v>
      </c>
      <c r="CB56" s="46">
        <f t="shared" ref="CB56" si="236">CB47/CB$52</f>
        <v>6.0148106687299537E-2</v>
      </c>
      <c r="CC56" s="67">
        <f>CC47/CC$52</f>
        <v>5.5105211998411896E-2</v>
      </c>
      <c r="CD56" s="46">
        <f t="shared" ref="CD56:CE56" si="237">CD47/CD$52</f>
        <v>6.397119836531262E-2</v>
      </c>
      <c r="CE56" s="46">
        <f t="shared" si="237"/>
        <v>5.0190571927972563E-2</v>
      </c>
      <c r="CF56" s="46">
        <f t="shared" ref="CF56:CG56" si="238">CF47/CF$52</f>
        <v>5.9136519142937369E-2</v>
      </c>
      <c r="CG56" s="46">
        <f t="shared" si="238"/>
        <v>4.1521381307733127E-2</v>
      </c>
      <c r="CH56" s="67">
        <f>CH47/CH$52</f>
        <v>5.3918479070642657E-2</v>
      </c>
      <c r="CI56" s="46">
        <f t="shared" ref="CI56:CJ56" si="239">CI47/CI$52</f>
        <v>3.9861856014563303E-2</v>
      </c>
      <c r="CJ56" s="46">
        <f t="shared" si="239"/>
        <v>6.5799729976968618E-2</v>
      </c>
      <c r="CK56" s="46">
        <f t="shared" ref="CK56:CL56" si="240">CK47/CK$52</f>
        <v>6.9465595668229366E-2</v>
      </c>
      <c r="CL56" s="46">
        <f t="shared" si="240"/>
        <v>4.8599331533358089E-2</v>
      </c>
      <c r="CM56" s="67">
        <f>CM47/CM$52</f>
        <v>5.5670210394434219E-2</v>
      </c>
      <c r="CN56" s="46">
        <f t="shared" ref="CN56" si="241">CN47/CN$52</f>
        <v>6.4338972020840532E-2</v>
      </c>
      <c r="CO56" s="46">
        <f>CO47/CO$52</f>
        <v>6.1161675949465352E-2</v>
      </c>
      <c r="CP56" s="46"/>
      <c r="CQ56" s="46"/>
      <c r="CR56" s="67">
        <f>CR47/CR$52</f>
        <v>6.2732755948153057E-2</v>
      </c>
    </row>
    <row r="57" spans="1:96" ht="11.15" customHeight="1" x14ac:dyDescent="0.2">
      <c r="A57" s="7" t="s">
        <v>114</v>
      </c>
      <c r="B57" s="11"/>
      <c r="C57" s="11"/>
      <c r="D57" s="11"/>
      <c r="E57" s="11"/>
      <c r="F57" s="61"/>
      <c r="G57" s="11"/>
      <c r="H57" s="11"/>
      <c r="I57" s="11"/>
      <c r="J57" s="11"/>
      <c r="K57" s="61"/>
      <c r="L57" s="11"/>
      <c r="M57" s="11"/>
      <c r="N57" s="11"/>
      <c r="O57" s="11"/>
      <c r="P57" s="61"/>
      <c r="Q57" s="11"/>
      <c r="R57" s="11"/>
      <c r="S57" s="11"/>
      <c r="T57" s="11"/>
      <c r="U57" s="61"/>
      <c r="V57" s="11"/>
      <c r="W57" s="11"/>
      <c r="X57" s="11"/>
      <c r="Y57" s="11"/>
      <c r="Z57" s="61"/>
      <c r="AA57" s="11"/>
      <c r="AB57" s="11"/>
      <c r="AC57" s="11"/>
      <c r="AD57" s="11"/>
      <c r="AE57" s="61"/>
      <c r="AF57" s="11"/>
      <c r="AG57" s="11"/>
      <c r="AH57" s="11"/>
      <c r="AI57" s="11"/>
      <c r="AJ57" s="67"/>
      <c r="AK57" s="11"/>
      <c r="AL57" s="11"/>
      <c r="AM57" s="11"/>
      <c r="AN57" s="11"/>
      <c r="AO57" s="67">
        <f t="shared" ref="AO57:BN57" si="242">AO48/AO$52</f>
        <v>0.20778539397624199</v>
      </c>
      <c r="AP57" s="46">
        <f t="shared" si="242"/>
        <v>0.16791440715227907</v>
      </c>
      <c r="AQ57" s="46">
        <f t="shared" si="242"/>
        <v>0.16871136917025661</v>
      </c>
      <c r="AR57" s="46">
        <f t="shared" si="242"/>
        <v>0.19220038967999159</v>
      </c>
      <c r="AS57" s="46">
        <f t="shared" si="242"/>
        <v>0.15418366264549041</v>
      </c>
      <c r="AT57" s="67">
        <f t="shared" si="242"/>
        <v>0.17071257105446383</v>
      </c>
      <c r="AU57" s="46">
        <f t="shared" si="242"/>
        <v>0.1500301568154403</v>
      </c>
      <c r="AV57" s="46">
        <f t="shared" si="242"/>
        <v>0.13668569095594926</v>
      </c>
      <c r="AW57" s="46">
        <f t="shared" si="242"/>
        <v>0.14390184814877166</v>
      </c>
      <c r="AX57" s="46">
        <f t="shared" si="242"/>
        <v>0.12434600627833972</v>
      </c>
      <c r="AY57" s="67">
        <f t="shared" si="242"/>
        <v>0.13851974724415128</v>
      </c>
      <c r="AZ57" s="46">
        <f t="shared" si="242"/>
        <v>0.13811954759515171</v>
      </c>
      <c r="BA57" s="46">
        <f t="shared" si="242"/>
        <v>0.14491251527966231</v>
      </c>
      <c r="BB57" s="46">
        <f t="shared" si="242"/>
        <v>0.12942405936462709</v>
      </c>
      <c r="BC57" s="46">
        <f t="shared" si="242"/>
        <v>0.10454053783900528</v>
      </c>
      <c r="BD57" s="67">
        <f t="shared" si="242"/>
        <v>0.12817875256044436</v>
      </c>
      <c r="BE57" s="46">
        <f t="shared" si="242"/>
        <v>0.1135436563744114</v>
      </c>
      <c r="BF57" s="46">
        <f t="shared" si="242"/>
        <v>0.11128588175096718</v>
      </c>
      <c r="BG57" s="46">
        <f t="shared" si="242"/>
        <v>0.10157788163977434</v>
      </c>
      <c r="BH57" s="46">
        <f t="shared" si="242"/>
        <v>9.7655481851795428E-2</v>
      </c>
      <c r="BI57" s="67">
        <f t="shared" si="242"/>
        <v>0.10554557527243097</v>
      </c>
      <c r="BJ57" s="46">
        <f t="shared" si="242"/>
        <v>0.106298490540871</v>
      </c>
      <c r="BK57" s="46">
        <f t="shared" si="242"/>
        <v>0.10053359057863269</v>
      </c>
      <c r="BL57" s="46">
        <f t="shared" si="242"/>
        <v>9.936410118255852E-2</v>
      </c>
      <c r="BM57" s="46">
        <f t="shared" si="242"/>
        <v>0.14181141702342973</v>
      </c>
      <c r="BN57" s="67">
        <f t="shared" si="242"/>
        <v>0.11100136039137624</v>
      </c>
      <c r="BO57" s="46">
        <f t="shared" ref="BO57:BP57" si="243">BO48/BO$52</f>
        <v>9.9785111427818707E-2</v>
      </c>
      <c r="BP57" s="46">
        <f t="shared" si="243"/>
        <v>0.11219482693687477</v>
      </c>
      <c r="BQ57" s="46">
        <f t="shared" ref="BQ57:BU57" si="244">BQ48/BQ$52</f>
        <v>0.10284439961353596</v>
      </c>
      <c r="BR57" s="46">
        <f t="shared" si="244"/>
        <v>0.10297527614984982</v>
      </c>
      <c r="BS57" s="67">
        <f t="shared" si="244"/>
        <v>0.10472918747494449</v>
      </c>
      <c r="BT57" s="46">
        <f t="shared" si="244"/>
        <v>0.12774331773938583</v>
      </c>
      <c r="BU57" s="46">
        <f t="shared" si="244"/>
        <v>0.14364176768068662</v>
      </c>
      <c r="BV57" s="46">
        <f t="shared" ref="BV57:BW57" si="245">BV48/BV$52</f>
        <v>0.10983196259275659</v>
      </c>
      <c r="BW57" s="46">
        <f t="shared" si="245"/>
        <v>0.14572973294121142</v>
      </c>
      <c r="BX57" s="67">
        <f t="shared" ref="BX57:BY57" si="246">BX48/BX$52</f>
        <v>0.13196038390171264</v>
      </c>
      <c r="BY57" s="46">
        <f t="shared" si="246"/>
        <v>0.16029341551282608</v>
      </c>
      <c r="BZ57" s="46">
        <f t="shared" ref="BZ57:CA57" si="247">BZ48/BZ$52</f>
        <v>0.16620925689747026</v>
      </c>
      <c r="CA57" s="46">
        <f t="shared" si="247"/>
        <v>0.1557457470658051</v>
      </c>
      <c r="CB57" s="46">
        <f t="shared" ref="CB57" si="248">CB48/CB$52</f>
        <v>0.17768138130475461</v>
      </c>
      <c r="CC57" s="67">
        <f t="shared" ref="CC57:CD57" si="249">CC48/CC$52</f>
        <v>0.16495625864216967</v>
      </c>
      <c r="CD57" s="46">
        <f t="shared" si="249"/>
        <v>0.18090756502396083</v>
      </c>
      <c r="CE57" s="46">
        <f t="shared" ref="CE57:CF57" si="250">CE48/CE$52</f>
        <v>0.18527251653082172</v>
      </c>
      <c r="CF57" s="46">
        <f t="shared" si="250"/>
        <v>0.15820931445304665</v>
      </c>
      <c r="CG57" s="46">
        <f t="shared" ref="CG57:CI57" si="251">CG48/CG$52</f>
        <v>0.17592245584474378</v>
      </c>
      <c r="CH57" s="67">
        <f t="shared" si="225"/>
        <v>0.17535415065052076</v>
      </c>
      <c r="CI57" s="46">
        <f t="shared" si="251"/>
        <v>0.16172582048194853</v>
      </c>
      <c r="CJ57" s="46">
        <f t="shared" ref="CJ57:CL57" si="252">CJ48/CJ$52</f>
        <v>0.15590153277779575</v>
      </c>
      <c r="CK57" s="46">
        <f t="shared" si="252"/>
        <v>0.13742489241906961</v>
      </c>
      <c r="CL57" s="46">
        <f t="shared" si="252"/>
        <v>0.1171389092417688</v>
      </c>
      <c r="CM57" s="67">
        <f t="shared" ref="CM57" si="253">CM48/CM$52</f>
        <v>0.14414741203272544</v>
      </c>
      <c r="CN57" s="46">
        <f t="shared" ref="CN57:CO57" si="254">CN48/CN$52</f>
        <v>0.1381657004313338</v>
      </c>
      <c r="CO57" s="46">
        <f t="shared" si="254"/>
        <v>0.1650953831822857</v>
      </c>
      <c r="CP57" s="46"/>
      <c r="CQ57" s="46"/>
      <c r="CR57" s="67">
        <f t="shared" ref="CR57:CR59" si="255">CR48/CR$52</f>
        <v>0.15177944252375142</v>
      </c>
    </row>
    <row r="58" spans="1:96" ht="11.15" customHeight="1" x14ac:dyDescent="0.2">
      <c r="A58" s="7" t="s">
        <v>115</v>
      </c>
      <c r="B58" s="11"/>
      <c r="C58" s="11"/>
      <c r="D58" s="11"/>
      <c r="E58" s="11"/>
      <c r="F58" s="61"/>
      <c r="G58" s="11"/>
      <c r="H58" s="11"/>
      <c r="I58" s="11"/>
      <c r="J58" s="11"/>
      <c r="K58" s="61"/>
      <c r="L58" s="11"/>
      <c r="M58" s="11"/>
      <c r="N58" s="11"/>
      <c r="O58" s="11"/>
      <c r="P58" s="61"/>
      <c r="Q58" s="11"/>
      <c r="R58" s="11"/>
      <c r="S58" s="11"/>
      <c r="T58" s="11"/>
      <c r="U58" s="61"/>
      <c r="V58" s="11"/>
      <c r="W58" s="11"/>
      <c r="X58" s="11"/>
      <c r="Y58" s="11"/>
      <c r="Z58" s="61"/>
      <c r="AA58" s="11"/>
      <c r="AB58" s="11"/>
      <c r="AC58" s="11"/>
      <c r="AD58" s="11"/>
      <c r="AE58" s="61"/>
      <c r="AF58" s="11"/>
      <c r="AG58" s="11"/>
      <c r="AH58" s="11"/>
      <c r="AI58" s="11"/>
      <c r="AJ58" s="67"/>
      <c r="AK58" s="11"/>
      <c r="AL58" s="11"/>
      <c r="AM58" s="11"/>
      <c r="AN58" s="11"/>
      <c r="AO58" s="67">
        <f t="shared" ref="AO58:BN58" si="256">AO49/AO$52</f>
        <v>3.3194245980920752E-2</v>
      </c>
      <c r="AP58" s="46">
        <f t="shared" si="256"/>
        <v>3.2877033562948847E-2</v>
      </c>
      <c r="AQ58" s="46">
        <f t="shared" si="256"/>
        <v>4.2012653222617637E-2</v>
      </c>
      <c r="AR58" s="46">
        <f t="shared" si="256"/>
        <v>7.2356261676625705E-2</v>
      </c>
      <c r="AS58" s="46">
        <f t="shared" si="256"/>
        <v>3.2555134473148763E-2</v>
      </c>
      <c r="AT58" s="67">
        <f t="shared" si="256"/>
        <v>4.5309885793263983E-2</v>
      </c>
      <c r="AU58" s="46">
        <f t="shared" si="256"/>
        <v>5.0417169280257336E-2</v>
      </c>
      <c r="AV58" s="46">
        <f t="shared" si="256"/>
        <v>6.6816082470719323E-2</v>
      </c>
      <c r="AW58" s="46">
        <f t="shared" si="256"/>
        <v>8.1501677335643688E-2</v>
      </c>
      <c r="AX58" s="46">
        <f t="shared" si="256"/>
        <v>4.8804700705642454E-2</v>
      </c>
      <c r="AY58" s="67">
        <f t="shared" si="256"/>
        <v>6.2695211730179251E-2</v>
      </c>
      <c r="AZ58" s="46">
        <f t="shared" si="256"/>
        <v>4.1496178491469159E-2</v>
      </c>
      <c r="BA58" s="46">
        <f t="shared" si="256"/>
        <v>6.4184471511588806E-2</v>
      </c>
      <c r="BB58" s="46">
        <f t="shared" si="256"/>
        <v>4.3831785186661004E-2</v>
      </c>
      <c r="BC58" s="46">
        <f t="shared" si="256"/>
        <v>4.329557584044038E-2</v>
      </c>
      <c r="BD58" s="67">
        <f t="shared" si="256"/>
        <v>4.8314753029548595E-2</v>
      </c>
      <c r="BE58" s="46">
        <f t="shared" si="256"/>
        <v>7.4753538618696783E-2</v>
      </c>
      <c r="BF58" s="46">
        <f t="shared" si="256"/>
        <v>7.9816337415024918E-2</v>
      </c>
      <c r="BG58" s="46">
        <f t="shared" si="256"/>
        <v>6.053003578569336E-2</v>
      </c>
      <c r="BH58" s="46">
        <f t="shared" si="256"/>
        <v>3.7983132763706358E-2</v>
      </c>
      <c r="BI58" s="67">
        <f t="shared" si="256"/>
        <v>6.2694080229173485E-2</v>
      </c>
      <c r="BJ58" s="46">
        <f t="shared" si="256"/>
        <v>4.5017006424649314E-2</v>
      </c>
      <c r="BK58" s="46">
        <f t="shared" si="256"/>
        <v>4.8576809723098642E-2</v>
      </c>
      <c r="BL58" s="46">
        <f t="shared" si="256"/>
        <v>5.1287232072199491E-2</v>
      </c>
      <c r="BM58" s="46">
        <f t="shared" si="256"/>
        <v>3.6757955588681751E-2</v>
      </c>
      <c r="BN58" s="67">
        <f t="shared" si="256"/>
        <v>4.568887451930783E-2</v>
      </c>
      <c r="BO58" s="46">
        <f t="shared" ref="BO58:BP58" si="257">BO49/BO$52</f>
        <v>4.4964719549781464E-2</v>
      </c>
      <c r="BP58" s="46">
        <f t="shared" si="257"/>
        <v>4.3893239940731618E-2</v>
      </c>
      <c r="BQ58" s="46">
        <f t="shared" ref="BQ58:BU58" si="258">BQ49/BQ$52</f>
        <v>3.7914187969787752E-2</v>
      </c>
      <c r="BR58" s="46">
        <f t="shared" si="258"/>
        <v>4.5097137564532805E-2</v>
      </c>
      <c r="BS58" s="67">
        <f t="shared" si="258"/>
        <v>4.2933832148798742E-2</v>
      </c>
      <c r="BT58" s="46">
        <f t="shared" si="258"/>
        <v>3.9612103899021832E-2</v>
      </c>
      <c r="BU58" s="46">
        <f t="shared" si="258"/>
        <v>4.6246596786219132E-2</v>
      </c>
      <c r="BV58" s="46">
        <f t="shared" ref="BV58:BW58" si="259">BV49/BV$52</f>
        <v>4.7352570805894972E-2</v>
      </c>
      <c r="BW58" s="46">
        <f t="shared" si="259"/>
        <v>3.4676053827644597E-2</v>
      </c>
      <c r="BX58" s="67">
        <f t="shared" ref="BX58:BY58" si="260">BX49/BX$52</f>
        <v>4.1918875611714264E-2</v>
      </c>
      <c r="BY58" s="46">
        <f t="shared" si="260"/>
        <v>3.9544540416974118E-2</v>
      </c>
      <c r="BZ58" s="46">
        <f t="shared" ref="BZ58:CA58" si="261">BZ49/BZ$52</f>
        <v>4.1772274510437017E-2</v>
      </c>
      <c r="CA58" s="46">
        <f t="shared" si="261"/>
        <v>4.3022550441777663E-2</v>
      </c>
      <c r="CB58" s="46">
        <f t="shared" ref="CB58" si="262">CB49/CB$52</f>
        <v>4.1608705314884475E-2</v>
      </c>
      <c r="CC58" s="67">
        <f t="shared" ref="CC58:CD58" si="263">CC49/CC$52</f>
        <v>4.1528962392015659E-2</v>
      </c>
      <c r="CD58" s="46">
        <f t="shared" si="263"/>
        <v>3.454250106087102E-2</v>
      </c>
      <c r="CE58" s="46">
        <f t="shared" ref="CE58:CF58" si="264">CE49/CE$52</f>
        <v>3.7342549393538323E-2</v>
      </c>
      <c r="CF58" s="46">
        <f t="shared" si="264"/>
        <v>3.2529526713007802E-2</v>
      </c>
      <c r="CG58" s="46">
        <f t="shared" ref="CG58:CI58" si="265">CG49/CG$52</f>
        <v>3.5977801696353347E-2</v>
      </c>
      <c r="CH58" s="67">
        <f t="shared" si="225"/>
        <v>3.5124413537994906E-2</v>
      </c>
      <c r="CI58" s="46">
        <f t="shared" si="265"/>
        <v>3.24966731379654E-2</v>
      </c>
      <c r="CJ58" s="46">
        <f t="shared" ref="CJ58:CL58" si="266">CJ49/CJ$52</f>
        <v>4.0709354621423589E-2</v>
      </c>
      <c r="CK58" s="46">
        <f t="shared" si="266"/>
        <v>3.6018460456335583E-2</v>
      </c>
      <c r="CL58" s="46">
        <f t="shared" si="266"/>
        <v>4.2389751516428958E-2</v>
      </c>
      <c r="CM58" s="67">
        <f t="shared" ref="CM58" si="267">CM49/CM$52</f>
        <v>3.7786644648795012E-2</v>
      </c>
      <c r="CN58" s="46">
        <f t="shared" ref="CN58:CO58" si="268">CN49/CN$52</f>
        <v>6.2660460539107732E-2</v>
      </c>
      <c r="CO58" s="46">
        <f t="shared" si="268"/>
        <v>4.0943934483494732E-2</v>
      </c>
      <c r="CP58" s="46"/>
      <c r="CQ58" s="46"/>
      <c r="CR58" s="67">
        <f t="shared" si="255"/>
        <v>5.1682121596220182E-2</v>
      </c>
    </row>
    <row r="59" spans="1:96" ht="11.15" customHeight="1" x14ac:dyDescent="0.2">
      <c r="A59" s="7" t="s">
        <v>213</v>
      </c>
      <c r="B59" s="11"/>
      <c r="C59" s="11"/>
      <c r="D59" s="11"/>
      <c r="E59" s="11"/>
      <c r="F59" s="61"/>
      <c r="G59" s="11"/>
      <c r="H59" s="11"/>
      <c r="I59" s="11"/>
      <c r="J59" s="11"/>
      <c r="K59" s="61"/>
      <c r="L59" s="11"/>
      <c r="M59" s="11"/>
      <c r="N59" s="11"/>
      <c r="O59" s="11"/>
      <c r="P59" s="61"/>
      <c r="Q59" s="11"/>
      <c r="R59" s="11"/>
      <c r="S59" s="11"/>
      <c r="T59" s="11"/>
      <c r="U59" s="61"/>
      <c r="V59" s="11"/>
      <c r="W59" s="11"/>
      <c r="X59" s="11"/>
      <c r="Y59" s="11"/>
      <c r="Z59" s="61"/>
      <c r="AA59" s="11"/>
      <c r="AB59" s="11"/>
      <c r="AC59" s="11"/>
      <c r="AD59" s="11"/>
      <c r="AE59" s="61"/>
      <c r="AF59" s="11"/>
      <c r="AG59" s="11"/>
      <c r="AH59" s="11"/>
      <c r="AI59" s="11"/>
      <c r="AJ59" s="67"/>
      <c r="AK59" s="11"/>
      <c r="AL59" s="11"/>
      <c r="AM59" s="11"/>
      <c r="AN59" s="11"/>
      <c r="AO59" s="67">
        <f t="shared" ref="AO59:BN59" si="269">AO50/AO$52</f>
        <v>2.9174395170623764E-2</v>
      </c>
      <c r="AP59" s="46">
        <f t="shared" si="269"/>
        <v>2.2629341931701599E-2</v>
      </c>
      <c r="AQ59" s="46">
        <f t="shared" si="269"/>
        <v>1.2824915194272752E-2</v>
      </c>
      <c r="AR59" s="46">
        <f t="shared" si="269"/>
        <v>2.2283885379988079E-2</v>
      </c>
      <c r="AS59" s="46">
        <f t="shared" si="269"/>
        <v>2.072786183354066E-2</v>
      </c>
      <c r="AT59" s="67">
        <f t="shared" si="269"/>
        <v>1.957959658730736E-2</v>
      </c>
      <c r="AU59" s="46">
        <f t="shared" si="269"/>
        <v>1.9084238037796544E-2</v>
      </c>
      <c r="AV59" s="46">
        <f t="shared" si="269"/>
        <v>7.7061130059794675E-3</v>
      </c>
      <c r="AW59" s="46">
        <f t="shared" si="269"/>
        <v>2.7617526412390521E-2</v>
      </c>
      <c r="AX59" s="46">
        <f t="shared" si="269"/>
        <v>3.5465464659744393E-2</v>
      </c>
      <c r="AY59" s="67">
        <f t="shared" si="269"/>
        <v>2.2486172213499914E-2</v>
      </c>
      <c r="AZ59" s="46">
        <f t="shared" si="269"/>
        <v>2.6374199027252375E-2</v>
      </c>
      <c r="BA59" s="46">
        <f t="shared" si="269"/>
        <v>1.3109851376850867E-2</v>
      </c>
      <c r="BB59" s="46">
        <f t="shared" si="269"/>
        <v>2.3588718014262246E-2</v>
      </c>
      <c r="BC59" s="46">
        <f t="shared" si="269"/>
        <v>2.815925974846584E-2</v>
      </c>
      <c r="BD59" s="67">
        <f t="shared" si="269"/>
        <v>2.2802241761605609E-2</v>
      </c>
      <c r="BE59" s="46">
        <f t="shared" si="269"/>
        <v>2.7444847925106527E-2</v>
      </c>
      <c r="BF59" s="46">
        <f t="shared" si="269"/>
        <v>1.8263381459933455E-2</v>
      </c>
      <c r="BG59" s="46">
        <f t="shared" si="269"/>
        <v>2.6901672121544006E-2</v>
      </c>
      <c r="BH59" s="46">
        <f t="shared" si="269"/>
        <v>4.2253950229189458E-2</v>
      </c>
      <c r="BI59" s="67">
        <f t="shared" si="269"/>
        <v>2.868146461502645E-2</v>
      </c>
      <c r="BJ59" s="46">
        <f t="shared" si="269"/>
        <v>2.6318275793077384E-2</v>
      </c>
      <c r="BK59" s="46">
        <f t="shared" si="269"/>
        <v>3.2465130448027506E-2</v>
      </c>
      <c r="BL59" s="46">
        <f t="shared" si="269"/>
        <v>4.1254847816448059E-2</v>
      </c>
      <c r="BM59" s="46">
        <f t="shared" si="269"/>
        <v>6.5838309836964592E-2</v>
      </c>
      <c r="BN59" s="67">
        <f t="shared" si="269"/>
        <v>4.0640493631642183E-2</v>
      </c>
      <c r="BO59" s="46">
        <f t="shared" ref="BO59:BP59" si="270">BO50/BO$52</f>
        <v>0.10357502213955377</v>
      </c>
      <c r="BP59" s="46">
        <f t="shared" si="270"/>
        <v>0.10826376079325066</v>
      </c>
      <c r="BQ59" s="46">
        <f t="shared" ref="BQ59:BU59" si="271">BQ50/BQ$52</f>
        <v>0.1000461812370495</v>
      </c>
      <c r="BR59" s="46">
        <f t="shared" si="271"/>
        <v>0.11970243977210096</v>
      </c>
      <c r="BS59" s="67">
        <f t="shared" si="271"/>
        <v>0.10775068253686916</v>
      </c>
      <c r="BT59" s="46">
        <f t="shared" si="271"/>
        <v>7.4762680447115648E-2</v>
      </c>
      <c r="BU59" s="46">
        <f t="shared" si="271"/>
        <v>8.4146674718549586E-2</v>
      </c>
      <c r="BV59" s="46">
        <f t="shared" ref="BV59:BW59" si="272">BV50/BV$52</f>
        <v>6.5446974478788847E-2</v>
      </c>
      <c r="BW59" s="46">
        <f t="shared" si="272"/>
        <v>8.7068888690847515E-2</v>
      </c>
      <c r="BX59" s="67">
        <f t="shared" ref="BX59:BY59" si="273">BX50/BX$52</f>
        <v>7.805873789480347E-2</v>
      </c>
      <c r="BY59" s="46">
        <f t="shared" si="273"/>
        <v>7.8464053706034695E-2</v>
      </c>
      <c r="BZ59" s="46">
        <f t="shared" ref="BZ59:CA59" si="274">BZ50/BZ$52</f>
        <v>7.9635040817095284E-2</v>
      </c>
      <c r="CA59" s="46">
        <f t="shared" si="274"/>
        <v>8.5778715547936174E-2</v>
      </c>
      <c r="CB59" s="46">
        <f t="shared" ref="CB59" si="275">CB50/CB$52</f>
        <v>0.10263206271075297</v>
      </c>
      <c r="CC59" s="67">
        <f t="shared" ref="CC59:CD59" si="276">CC50/CC$52</f>
        <v>8.6690031899018388E-2</v>
      </c>
      <c r="CD59" s="46">
        <f t="shared" si="276"/>
        <v>9.3510712770184259E-2</v>
      </c>
      <c r="CE59" s="46">
        <f t="shared" ref="CE59:CF59" si="277">CE50/CE$52</f>
        <v>0.10196460162907833</v>
      </c>
      <c r="CF59" s="46">
        <f t="shared" si="277"/>
        <v>0.10294951949250156</v>
      </c>
      <c r="CG59" s="46">
        <f t="shared" ref="CG59:CI59" si="278">CG50/CG$52</f>
        <v>0.13342067944078503</v>
      </c>
      <c r="CH59" s="67">
        <f t="shared" si="225"/>
        <v>0.10735638632377949</v>
      </c>
      <c r="CI59" s="46">
        <f t="shared" si="278"/>
        <v>0.11920247483970574</v>
      </c>
      <c r="CJ59" s="46">
        <f t="shared" ref="CJ59:CL59" si="279">CJ50/CJ$52</f>
        <v>0.11232428648325887</v>
      </c>
      <c r="CK59" s="46">
        <f t="shared" si="279"/>
        <v>0.12439573856755617</v>
      </c>
      <c r="CL59" s="46">
        <f t="shared" si="279"/>
        <v>0.14758793280538521</v>
      </c>
      <c r="CM59" s="67">
        <f t="shared" ref="CM59" si="280">CM50/CM$52</f>
        <v>0.12519195084194279</v>
      </c>
      <c r="CN59" s="46">
        <f t="shared" ref="CN59:CO59" si="281">CN50/CN$52</f>
        <v>0.14881611371022463</v>
      </c>
      <c r="CO59" s="46">
        <f t="shared" si="281"/>
        <v>0.15008247782801917</v>
      </c>
      <c r="CP59" s="46"/>
      <c r="CQ59" s="46"/>
      <c r="CR59" s="67">
        <f t="shared" si="255"/>
        <v>0.14945629780203826</v>
      </c>
    </row>
    <row r="60" spans="1:96" ht="11.15" customHeight="1" x14ac:dyDescent="0.2">
      <c r="A60" s="7" t="s">
        <v>159</v>
      </c>
      <c r="B60" s="11"/>
      <c r="C60" s="11"/>
      <c r="D60" s="11"/>
      <c r="E60" s="11"/>
      <c r="F60" s="61"/>
      <c r="G60" s="11"/>
      <c r="H60" s="11"/>
      <c r="I60" s="11"/>
      <c r="J60" s="11"/>
      <c r="K60" s="61"/>
      <c r="L60" s="11"/>
      <c r="M60" s="11"/>
      <c r="N60" s="11"/>
      <c r="O60" s="11"/>
      <c r="P60" s="61"/>
      <c r="Q60" s="11"/>
      <c r="R60" s="11"/>
      <c r="S60" s="11"/>
      <c r="T60" s="11"/>
      <c r="U60" s="61"/>
      <c r="V60" s="11"/>
      <c r="W60" s="11"/>
      <c r="X60" s="11"/>
      <c r="Y60" s="11"/>
      <c r="Z60" s="61"/>
      <c r="AA60" s="11"/>
      <c r="AB60" s="11"/>
      <c r="AC60" s="11"/>
      <c r="AD60" s="11"/>
      <c r="AE60" s="61"/>
      <c r="AF60" s="11"/>
      <c r="AG60" s="11"/>
      <c r="AH60" s="11"/>
      <c r="AI60" s="11"/>
      <c r="AJ60" s="67"/>
      <c r="AK60" s="11"/>
      <c r="AL60" s="11"/>
      <c r="AM60" s="11"/>
      <c r="AN60" s="11"/>
      <c r="AO60" s="67">
        <f t="shared" ref="AO60:BN60" si="282">AO51/AO$52</f>
        <v>9.7474823851834938E-2</v>
      </c>
      <c r="AP60" s="46">
        <f t="shared" si="282"/>
        <v>7.27949582295178E-2</v>
      </c>
      <c r="AQ60" s="46">
        <f t="shared" si="282"/>
        <v>0.11123077563422197</v>
      </c>
      <c r="AR60" s="46">
        <f t="shared" si="282"/>
        <v>6.5599471077029417E-2</v>
      </c>
      <c r="AS60" s="46">
        <f t="shared" si="282"/>
        <v>0.11646464354249236</v>
      </c>
      <c r="AT60" s="67">
        <f t="shared" si="282"/>
        <v>9.2290265928150553E-2</v>
      </c>
      <c r="AU60" s="46">
        <f t="shared" si="282"/>
        <v>7.7166264575794133E-2</v>
      </c>
      <c r="AV60" s="46">
        <f t="shared" si="282"/>
        <v>9.6768706036455182E-2</v>
      </c>
      <c r="AW60" s="46">
        <f t="shared" si="282"/>
        <v>8.460177136498577E-2</v>
      </c>
      <c r="AX60" s="46">
        <f t="shared" si="282"/>
        <v>0.11926162431917577</v>
      </c>
      <c r="AY60" s="67">
        <f t="shared" si="282"/>
        <v>9.4734623002113702E-2</v>
      </c>
      <c r="AZ60" s="46">
        <f t="shared" si="282"/>
        <v>9.6719871844360386E-2</v>
      </c>
      <c r="BA60" s="46">
        <f t="shared" si="282"/>
        <v>9.7437763809056638E-2</v>
      </c>
      <c r="BB60" s="46">
        <f t="shared" si="282"/>
        <v>0.1227289985226508</v>
      </c>
      <c r="BC60" s="46">
        <f t="shared" si="282"/>
        <v>0.13183231532087919</v>
      </c>
      <c r="BD60" s="67">
        <f t="shared" si="282"/>
        <v>0.1135520432370974</v>
      </c>
      <c r="BE60" s="46">
        <f t="shared" si="282"/>
        <v>0.11578612259748255</v>
      </c>
      <c r="BF60" s="46">
        <f t="shared" si="282"/>
        <v>9.898395388942885E-2</v>
      </c>
      <c r="BG60" s="46">
        <f t="shared" si="282"/>
        <v>0.10342702138227017</v>
      </c>
      <c r="BH60" s="46">
        <f t="shared" si="282"/>
        <v>9.6979684535597063E-2</v>
      </c>
      <c r="BI60" s="67">
        <f t="shared" si="282"/>
        <v>0.10311742088979331</v>
      </c>
      <c r="BJ60" s="46">
        <f t="shared" si="282"/>
        <v>0.11106140097370118</v>
      </c>
      <c r="BK60" s="46">
        <f t="shared" si="282"/>
        <v>0.10024829973912812</v>
      </c>
      <c r="BL60" s="46">
        <f t="shared" si="282"/>
        <v>0.11617360655093645</v>
      </c>
      <c r="BM60" s="46">
        <f t="shared" si="282"/>
        <v>0.13172812686524205</v>
      </c>
      <c r="BN60" s="67">
        <f t="shared" si="282"/>
        <v>0.11391805046188917</v>
      </c>
      <c r="BO60" s="46">
        <f t="shared" ref="BO60:BP60" si="283">BO51/BO$52</f>
        <v>0.1339355715179005</v>
      </c>
      <c r="BP60" s="46">
        <f t="shared" si="283"/>
        <v>0.10660611541940078</v>
      </c>
      <c r="BQ60" s="46">
        <f t="shared" ref="BQ60:BU60" si="284">BQ51/BQ$52</f>
        <v>0.16122416737052545</v>
      </c>
      <c r="BR60" s="46">
        <f t="shared" si="284"/>
        <v>0.17417905142078161</v>
      </c>
      <c r="BS60" s="67">
        <f t="shared" si="284"/>
        <v>0.14259220238235606</v>
      </c>
      <c r="BT60" s="46">
        <f t="shared" si="284"/>
        <v>0.23401754118487253</v>
      </c>
      <c r="BU60" s="46">
        <f t="shared" si="284"/>
        <v>0.1586108477755549</v>
      </c>
      <c r="BV60" s="46">
        <f>BV51/BV$52</f>
        <v>0.16142079694511699</v>
      </c>
      <c r="BW60" s="46">
        <f>BW51/BW$52</f>
        <v>0.13253126578142174</v>
      </c>
      <c r="BX60" s="67">
        <f t="shared" ref="BX60:BY60" si="285">BX51/BX$52</f>
        <v>0.16769715604918367</v>
      </c>
      <c r="BY60" s="46">
        <f t="shared" si="285"/>
        <v>0.18242689931565317</v>
      </c>
      <c r="BZ60" s="46">
        <f>BZ51/BZ$52</f>
        <v>0.15294168294507315</v>
      </c>
      <c r="CA60" s="46">
        <f>CA51/CA$52</f>
        <v>0.18187260978504549</v>
      </c>
      <c r="CB60" s="46">
        <f>CB51/CB$52</f>
        <v>0.20803529537653614</v>
      </c>
      <c r="CC60" s="67">
        <f>CC51/CC$52</f>
        <v>0.18117068028421615</v>
      </c>
      <c r="CD60" s="46">
        <f t="shared" ref="CD60:CE60" si="286">CD51/CD$52</f>
        <v>0.1738233791647634</v>
      </c>
      <c r="CE60" s="46">
        <f t="shared" si="286"/>
        <v>0.19290335072396114</v>
      </c>
      <c r="CF60" s="46">
        <f t="shared" ref="CF60:CG60" si="287">CF51/CF$52</f>
        <v>0.20945485177905251</v>
      </c>
      <c r="CG60" s="46">
        <f t="shared" si="287"/>
        <v>0.22256167944378319</v>
      </c>
      <c r="CH60" s="67">
        <f>CH51/CH$52</f>
        <v>0.19892595346637781</v>
      </c>
      <c r="CI60" s="46">
        <f t="shared" ref="CI60:CJ60" si="288">CI51/CI$52</f>
        <v>0.20303363731154983</v>
      </c>
      <c r="CJ60" s="46">
        <f t="shared" si="288"/>
        <v>0.19584023343167506</v>
      </c>
      <c r="CK60" s="46">
        <f t="shared" ref="CK60:CL60" si="289">CK51/CK$52</f>
        <v>0.2361737353227096</v>
      </c>
      <c r="CL60" s="46">
        <f t="shared" si="289"/>
        <v>0.29150565587016092</v>
      </c>
      <c r="CM60" s="67">
        <f>CM51/CM$52</f>
        <v>0.2294322294104808</v>
      </c>
      <c r="CN60" s="46">
        <f t="shared" ref="CN60:CO60" si="290">CN51/CN$52</f>
        <v>0.22574193778793614</v>
      </c>
      <c r="CO60" s="46">
        <f t="shared" si="290"/>
        <v>0.26357585049195598</v>
      </c>
      <c r="CP60" s="46"/>
      <c r="CQ60" s="46"/>
      <c r="CR60" s="67">
        <f>CR51/CR$52</f>
        <v>0.24486808697665474</v>
      </c>
    </row>
    <row r="61" spans="1:96" s="2" customFormat="1" ht="11.15" customHeight="1" x14ac:dyDescent="0.25">
      <c r="A61" s="6" t="s">
        <v>14</v>
      </c>
      <c r="B61" s="31"/>
      <c r="C61" s="31"/>
      <c r="D61" s="31"/>
      <c r="E61" s="31"/>
      <c r="F61" s="76"/>
      <c r="G61" s="31"/>
      <c r="H61" s="31"/>
      <c r="I61" s="31"/>
      <c r="J61" s="31"/>
      <c r="K61" s="76"/>
      <c r="L61" s="31"/>
      <c r="M61" s="31"/>
      <c r="N61" s="31"/>
      <c r="O61" s="31"/>
      <c r="P61" s="76"/>
      <c r="Q61" s="31"/>
      <c r="R61" s="31"/>
      <c r="S61" s="31"/>
      <c r="T61" s="31"/>
      <c r="U61" s="76"/>
      <c r="V61" s="31"/>
      <c r="W61" s="31"/>
      <c r="X61" s="31"/>
      <c r="Y61" s="31"/>
      <c r="Z61" s="76"/>
      <c r="AA61" s="31"/>
      <c r="AB61" s="31"/>
      <c r="AC61" s="31"/>
      <c r="AD61" s="31"/>
      <c r="AE61" s="76"/>
      <c r="AF61" s="31"/>
      <c r="AG61" s="31"/>
      <c r="AH61" s="31"/>
      <c r="AI61" s="31"/>
      <c r="AJ61" s="77"/>
      <c r="AK61" s="31"/>
      <c r="AL61" s="31"/>
      <c r="AM61" s="31"/>
      <c r="AN61" s="31"/>
      <c r="AO61" s="77">
        <f t="shared" ref="AO61:BN61" si="291">AO52/AO$52</f>
        <v>1</v>
      </c>
      <c r="AP61" s="47">
        <f t="shared" si="291"/>
        <v>1</v>
      </c>
      <c r="AQ61" s="47">
        <f t="shared" si="291"/>
        <v>1</v>
      </c>
      <c r="AR61" s="47">
        <f t="shared" si="291"/>
        <v>1</v>
      </c>
      <c r="AS61" s="47">
        <f t="shared" si="291"/>
        <v>1</v>
      </c>
      <c r="AT61" s="77">
        <f t="shared" si="291"/>
        <v>1</v>
      </c>
      <c r="AU61" s="47">
        <f t="shared" si="291"/>
        <v>1</v>
      </c>
      <c r="AV61" s="47">
        <f t="shared" si="291"/>
        <v>1</v>
      </c>
      <c r="AW61" s="47">
        <f t="shared" si="291"/>
        <v>1</v>
      </c>
      <c r="AX61" s="47">
        <f t="shared" si="291"/>
        <v>1</v>
      </c>
      <c r="AY61" s="77">
        <f t="shared" si="291"/>
        <v>1</v>
      </c>
      <c r="AZ61" s="47">
        <f t="shared" si="291"/>
        <v>1</v>
      </c>
      <c r="BA61" s="47">
        <f t="shared" si="291"/>
        <v>1</v>
      </c>
      <c r="BB61" s="47">
        <f t="shared" si="291"/>
        <v>1</v>
      </c>
      <c r="BC61" s="47">
        <f t="shared" si="291"/>
        <v>1</v>
      </c>
      <c r="BD61" s="77">
        <f t="shared" si="291"/>
        <v>1</v>
      </c>
      <c r="BE61" s="47">
        <f t="shared" si="291"/>
        <v>1</v>
      </c>
      <c r="BF61" s="47">
        <f t="shared" si="291"/>
        <v>1</v>
      </c>
      <c r="BG61" s="47">
        <f t="shared" si="291"/>
        <v>1</v>
      </c>
      <c r="BH61" s="47">
        <f t="shared" si="291"/>
        <v>1</v>
      </c>
      <c r="BI61" s="77">
        <f t="shared" si="291"/>
        <v>1</v>
      </c>
      <c r="BJ61" s="47">
        <f t="shared" si="291"/>
        <v>1</v>
      </c>
      <c r="BK61" s="47">
        <f t="shared" si="291"/>
        <v>1</v>
      </c>
      <c r="BL61" s="47">
        <f t="shared" si="291"/>
        <v>1</v>
      </c>
      <c r="BM61" s="47">
        <f t="shared" si="291"/>
        <v>1</v>
      </c>
      <c r="BN61" s="77">
        <f t="shared" si="291"/>
        <v>1</v>
      </c>
      <c r="BO61" s="47">
        <f t="shared" ref="BO61:BP61" si="292">BO52/BO$52</f>
        <v>1</v>
      </c>
      <c r="BP61" s="47">
        <f t="shared" si="292"/>
        <v>1</v>
      </c>
      <c r="BQ61" s="47">
        <f t="shared" ref="BQ61:BU61" si="293">BQ52/BQ$52</f>
        <v>1</v>
      </c>
      <c r="BR61" s="47">
        <f t="shared" si="293"/>
        <v>1</v>
      </c>
      <c r="BS61" s="77">
        <f t="shared" si="293"/>
        <v>1</v>
      </c>
      <c r="BT61" s="47">
        <f t="shared" si="293"/>
        <v>1</v>
      </c>
      <c r="BU61" s="47">
        <f t="shared" si="293"/>
        <v>1</v>
      </c>
      <c r="BV61" s="47">
        <f t="shared" ref="BV61:BW61" si="294">BV52/BV$52</f>
        <v>1</v>
      </c>
      <c r="BW61" s="47">
        <f t="shared" si="294"/>
        <v>1</v>
      </c>
      <c r="BX61" s="77">
        <f t="shared" ref="BX61:BY61" si="295">BX52/BX$52</f>
        <v>1</v>
      </c>
      <c r="BY61" s="47">
        <f t="shared" si="295"/>
        <v>1</v>
      </c>
      <c r="BZ61" s="47">
        <f t="shared" ref="BZ61:CA61" si="296">BZ52/BZ$52</f>
        <v>1</v>
      </c>
      <c r="CA61" s="47">
        <f t="shared" si="296"/>
        <v>1</v>
      </c>
      <c r="CB61" s="47">
        <f t="shared" ref="CB61" si="297">CB52/CB$52</f>
        <v>1</v>
      </c>
      <c r="CC61" s="77">
        <f t="shared" ref="CC61:CD61" si="298">CC52/CC$52</f>
        <v>1</v>
      </c>
      <c r="CD61" s="47">
        <f t="shared" si="298"/>
        <v>1</v>
      </c>
      <c r="CE61" s="47">
        <f t="shared" ref="CE61:CF61" si="299">CE52/CE$52</f>
        <v>1</v>
      </c>
      <c r="CF61" s="47">
        <f t="shared" si="299"/>
        <v>1</v>
      </c>
      <c r="CG61" s="47">
        <f t="shared" ref="CG61:CI61" si="300">CG52/CG$52</f>
        <v>1</v>
      </c>
      <c r="CH61" s="77">
        <f t="shared" ref="CH61" si="301">CH52/CH$52</f>
        <v>1</v>
      </c>
      <c r="CI61" s="47">
        <f t="shared" si="300"/>
        <v>1</v>
      </c>
      <c r="CJ61" s="47">
        <f t="shared" ref="CJ61:CL61" si="302">CJ52/CJ$52</f>
        <v>1</v>
      </c>
      <c r="CK61" s="47">
        <f t="shared" si="302"/>
        <v>1</v>
      </c>
      <c r="CL61" s="47">
        <f t="shared" si="302"/>
        <v>1</v>
      </c>
      <c r="CM61" s="77">
        <f t="shared" ref="CM61" si="303">CM52/CM$52</f>
        <v>1</v>
      </c>
      <c r="CN61" s="47">
        <f t="shared" ref="CN61:CO61" si="304">CN52/CN$52</f>
        <v>1</v>
      </c>
      <c r="CO61" s="47">
        <f t="shared" si="304"/>
        <v>1</v>
      </c>
      <c r="CP61" s="47"/>
      <c r="CQ61" s="47"/>
      <c r="CR61" s="77">
        <f t="shared" ref="CR61" si="305">CR52/CR$52</f>
        <v>1</v>
      </c>
    </row>
    <row r="62" spans="1:96" s="2" customFormat="1" ht="11.15" customHeight="1" x14ac:dyDescent="0.25">
      <c r="A62" s="21"/>
      <c r="B62" s="11"/>
      <c r="C62" s="11"/>
      <c r="D62" s="11"/>
      <c r="E62" s="11"/>
      <c r="F62" s="61"/>
      <c r="G62" s="11"/>
      <c r="H62" s="11"/>
      <c r="I62" s="11"/>
      <c r="J62" s="11"/>
      <c r="K62" s="61"/>
      <c r="L62" s="11"/>
      <c r="M62" s="11"/>
      <c r="N62" s="11"/>
      <c r="O62" s="11"/>
      <c r="P62" s="61"/>
      <c r="Q62" s="11"/>
      <c r="R62" s="11"/>
      <c r="S62" s="11"/>
      <c r="T62" s="11"/>
      <c r="U62" s="61"/>
      <c r="V62" s="11"/>
      <c r="W62" s="11"/>
      <c r="X62" s="11"/>
      <c r="Y62" s="11"/>
      <c r="Z62" s="61"/>
      <c r="AA62" s="11"/>
      <c r="AB62" s="11"/>
      <c r="AC62" s="11"/>
      <c r="AD62" s="11"/>
      <c r="AE62" s="61"/>
      <c r="AF62" s="11"/>
      <c r="AG62" s="11"/>
      <c r="AH62" s="11"/>
      <c r="AI62" s="11"/>
      <c r="AJ62" s="61"/>
      <c r="AK62" s="11"/>
      <c r="AL62" s="11"/>
      <c r="AM62" s="11"/>
      <c r="AN62" s="11"/>
      <c r="AO62" s="61"/>
      <c r="AP62" s="11"/>
      <c r="AQ62" s="11"/>
      <c r="AR62" s="11"/>
      <c r="AS62" s="11"/>
      <c r="AT62" s="61"/>
      <c r="AU62" s="11"/>
      <c r="AV62" s="11"/>
      <c r="AW62" s="11"/>
      <c r="AX62" s="11"/>
      <c r="AY62" s="61"/>
      <c r="AZ62" s="11"/>
      <c r="BA62" s="11"/>
      <c r="BB62" s="11"/>
      <c r="BC62" s="11"/>
      <c r="BD62" s="61"/>
      <c r="BE62" s="11"/>
      <c r="BF62" s="11"/>
      <c r="BG62" s="11"/>
      <c r="BH62" s="11"/>
      <c r="BI62" s="61"/>
      <c r="BJ62" s="11"/>
      <c r="BK62" s="11"/>
      <c r="BL62" s="11"/>
      <c r="BM62" s="11"/>
      <c r="BN62" s="61"/>
      <c r="BO62" s="11"/>
      <c r="BP62" s="11"/>
      <c r="BQ62" s="11"/>
      <c r="BR62" s="11"/>
      <c r="BS62" s="61"/>
      <c r="BT62" s="11"/>
      <c r="BU62" s="11"/>
      <c r="BV62" s="11"/>
      <c r="BW62" s="11"/>
      <c r="BX62" s="61"/>
      <c r="BY62" s="11"/>
      <c r="BZ62" s="11"/>
      <c r="CA62" s="11"/>
      <c r="CB62" s="11"/>
      <c r="CC62" s="61"/>
      <c r="CD62" s="11"/>
      <c r="CE62" s="11"/>
      <c r="CF62" s="11"/>
      <c r="CG62" s="11"/>
      <c r="CH62" s="61"/>
      <c r="CI62" s="11"/>
      <c r="CJ62" s="11"/>
      <c r="CK62" s="11"/>
      <c r="CL62" s="11"/>
      <c r="CM62" s="61"/>
      <c r="CN62" s="11"/>
      <c r="CO62" s="11"/>
      <c r="CP62" s="11"/>
      <c r="CQ62" s="11"/>
      <c r="CR62" s="61"/>
    </row>
    <row r="63" spans="1:96" s="2" customFormat="1" ht="11.15" customHeight="1" x14ac:dyDescent="0.25">
      <c r="A63" s="35" t="s">
        <v>101</v>
      </c>
      <c r="B63" s="4"/>
      <c r="C63" s="4"/>
      <c r="D63" s="5"/>
      <c r="E63" s="5"/>
      <c r="F63" s="69"/>
      <c r="G63" s="4"/>
      <c r="H63" s="4"/>
      <c r="I63" s="5"/>
      <c r="J63" s="5"/>
      <c r="K63" s="69"/>
      <c r="L63" s="4"/>
      <c r="M63" s="4"/>
      <c r="N63" s="5"/>
      <c r="O63" s="5"/>
      <c r="P63" s="69"/>
      <c r="Q63" s="4"/>
      <c r="R63" s="4"/>
      <c r="S63" s="5"/>
      <c r="T63" s="5"/>
      <c r="U63" s="69"/>
      <c r="V63" s="4"/>
      <c r="W63" s="4"/>
      <c r="X63" s="5"/>
      <c r="Y63" s="5"/>
      <c r="Z63" s="69"/>
      <c r="AA63" s="4"/>
      <c r="AB63" s="4"/>
      <c r="AC63" s="5"/>
      <c r="AD63" s="5"/>
      <c r="AE63" s="69"/>
      <c r="AF63" s="4"/>
      <c r="AG63" s="4"/>
      <c r="AH63" s="5"/>
      <c r="AI63" s="5"/>
      <c r="AJ63" s="69"/>
      <c r="AK63" s="4"/>
      <c r="AL63" s="4"/>
      <c r="AM63" s="5"/>
      <c r="AN63" s="5"/>
      <c r="AO63" s="69"/>
      <c r="AP63" s="4"/>
      <c r="AQ63" s="4"/>
      <c r="AR63" s="5"/>
      <c r="AS63" s="5"/>
      <c r="AT63" s="69"/>
      <c r="AU63" s="4"/>
      <c r="AV63" s="4"/>
      <c r="AW63" s="5"/>
      <c r="AX63" s="5"/>
      <c r="AY63" s="69"/>
      <c r="AZ63" s="4"/>
      <c r="BA63" s="4"/>
      <c r="BB63" s="5"/>
      <c r="BC63" s="5"/>
      <c r="BD63" s="69"/>
      <c r="BE63" s="4"/>
      <c r="BF63" s="4"/>
      <c r="BG63" s="5"/>
      <c r="BH63" s="5"/>
      <c r="BI63" s="69"/>
      <c r="BJ63" s="4"/>
      <c r="BK63" s="4"/>
      <c r="BL63" s="5"/>
      <c r="BM63" s="5"/>
      <c r="BN63" s="69"/>
      <c r="BO63" s="4"/>
      <c r="BP63" s="4"/>
      <c r="BQ63" s="4"/>
      <c r="BR63" s="5"/>
      <c r="BS63" s="69"/>
      <c r="BT63" s="4"/>
      <c r="BU63" s="4"/>
      <c r="BV63" s="4"/>
      <c r="BW63" s="5"/>
      <c r="BX63" s="69"/>
      <c r="BY63" s="4"/>
      <c r="BZ63" s="4"/>
      <c r="CA63" s="4"/>
      <c r="CB63" s="5"/>
      <c r="CC63" s="69"/>
      <c r="CD63" s="4"/>
      <c r="CE63" s="4"/>
      <c r="CF63" s="4"/>
      <c r="CG63" s="4"/>
      <c r="CH63" s="69"/>
      <c r="CI63" s="4"/>
      <c r="CJ63" s="4"/>
      <c r="CK63" s="4"/>
      <c r="CL63" s="4"/>
      <c r="CM63" s="69"/>
      <c r="CN63" s="4"/>
      <c r="CO63" s="4"/>
      <c r="CP63" s="4"/>
      <c r="CQ63" s="4"/>
      <c r="CR63" s="69"/>
    </row>
    <row r="64" spans="1:96" s="2" customFormat="1" ht="11.15" customHeight="1" x14ac:dyDescent="0.25">
      <c r="A64" s="7" t="s">
        <v>102</v>
      </c>
      <c r="B64" s="8"/>
      <c r="C64" s="8"/>
      <c r="D64" s="8"/>
      <c r="E64" s="8"/>
      <c r="F64" s="58"/>
      <c r="G64" s="8"/>
      <c r="H64" s="8"/>
      <c r="I64" s="8"/>
      <c r="J64" s="8"/>
      <c r="K64" s="70"/>
      <c r="L64" s="8"/>
      <c r="M64" s="8"/>
      <c r="N64" s="8"/>
      <c r="O64" s="8"/>
      <c r="P64" s="70">
        <v>47000</v>
      </c>
      <c r="Q64" s="8"/>
      <c r="R64" s="8"/>
      <c r="S64" s="8"/>
      <c r="T64" s="8"/>
      <c r="U64" s="70">
        <v>47800</v>
      </c>
      <c r="V64" s="8"/>
      <c r="W64" s="8"/>
      <c r="X64" s="8"/>
      <c r="Y64" s="8"/>
      <c r="Z64" s="70">
        <v>98600</v>
      </c>
      <c r="AA64" s="8"/>
      <c r="AB64" s="8"/>
      <c r="AC64" s="8"/>
      <c r="AD64" s="8"/>
      <c r="AE64" s="70">
        <v>124100</v>
      </c>
      <c r="AF64" s="8"/>
      <c r="AG64" s="8"/>
      <c r="AH64" s="8"/>
      <c r="AI64" s="8"/>
      <c r="AJ64" s="70">
        <v>102000</v>
      </c>
      <c r="AK64" s="8"/>
      <c r="AL64" s="8"/>
      <c r="AM64" s="8"/>
      <c r="AN64" s="8"/>
      <c r="AO64" s="70">
        <v>132600</v>
      </c>
      <c r="AP64" s="8"/>
      <c r="AQ64" s="8"/>
      <c r="AR64" s="8"/>
      <c r="AS64" s="8"/>
      <c r="AT64" s="70">
        <v>174500</v>
      </c>
      <c r="AU64" s="8"/>
      <c r="AV64" s="8"/>
      <c r="AW64" s="8"/>
      <c r="AX64" s="8"/>
      <c r="AY64" s="70">
        <v>185100</v>
      </c>
      <c r="AZ64" s="8"/>
      <c r="BA64" s="8"/>
      <c r="BB64" s="8"/>
      <c r="BC64" s="8"/>
      <c r="BD64" s="70">
        <v>226700</v>
      </c>
      <c r="BE64" s="8"/>
      <c r="BF64" s="8"/>
      <c r="BG64" s="8"/>
      <c r="BH64" s="8"/>
      <c r="BI64" s="70">
        <v>326100</v>
      </c>
      <c r="BJ64" s="8"/>
      <c r="BK64" s="8"/>
      <c r="BL64" s="8"/>
      <c r="BM64" s="8"/>
      <c r="BN64" s="70">
        <v>338737</v>
      </c>
      <c r="BO64" s="8"/>
      <c r="BP64" s="8"/>
      <c r="BQ64" s="8"/>
      <c r="BR64" s="8"/>
      <c r="BS64" s="70">
        <v>285093</v>
      </c>
      <c r="BT64" s="8"/>
      <c r="BU64" s="8"/>
      <c r="BV64" s="8"/>
      <c r="BW64" s="8"/>
      <c r="BX64" s="70">
        <v>376032</v>
      </c>
      <c r="BY64" s="8"/>
      <c r="BZ64" s="8"/>
      <c r="CA64" s="8"/>
      <c r="CB64" s="8"/>
      <c r="CC64" s="102">
        <v>487337</v>
      </c>
      <c r="CD64" s="8"/>
      <c r="CE64" s="8"/>
      <c r="CF64" s="8"/>
      <c r="CG64" s="8"/>
      <c r="CH64" s="102">
        <v>500900</v>
      </c>
      <c r="CI64" s="8"/>
      <c r="CJ64" s="8"/>
      <c r="CK64" s="8"/>
      <c r="CL64" s="8"/>
      <c r="CM64" s="102">
        <v>401100</v>
      </c>
      <c r="CN64" s="8"/>
      <c r="CO64" s="8"/>
      <c r="CP64" s="8"/>
      <c r="CQ64" s="8"/>
      <c r="CR64" s="102"/>
    </row>
    <row r="65" spans="1:96" ht="11.15" customHeight="1" x14ac:dyDescent="0.2">
      <c r="A65" s="7" t="s">
        <v>103</v>
      </c>
      <c r="B65" s="11"/>
      <c r="C65" s="11"/>
      <c r="D65" s="11"/>
      <c r="E65" s="11"/>
      <c r="F65" s="61"/>
      <c r="G65" s="11"/>
      <c r="H65" s="11"/>
      <c r="I65" s="11"/>
      <c r="J65" s="11"/>
      <c r="K65" s="65"/>
      <c r="L65" s="11"/>
      <c r="M65" s="11"/>
      <c r="N65" s="11"/>
      <c r="O65" s="11"/>
      <c r="P65" s="65">
        <v>22300</v>
      </c>
      <c r="Q65" s="11"/>
      <c r="R65" s="11"/>
      <c r="S65" s="11"/>
      <c r="T65" s="11"/>
      <c r="U65" s="65">
        <v>20300</v>
      </c>
      <c r="V65" s="11"/>
      <c r="W65" s="11"/>
      <c r="X65" s="11"/>
      <c r="Y65" s="11"/>
      <c r="Z65" s="65">
        <v>73000</v>
      </c>
      <c r="AA65" s="11"/>
      <c r="AB65" s="11"/>
      <c r="AC65" s="11"/>
      <c r="AD65" s="11"/>
      <c r="AE65" s="65">
        <v>82900</v>
      </c>
      <c r="AF65" s="11"/>
      <c r="AG65" s="11"/>
      <c r="AH65" s="11"/>
      <c r="AI65" s="11"/>
      <c r="AJ65" s="65">
        <v>101000</v>
      </c>
      <c r="AK65" s="11"/>
      <c r="AL65" s="11"/>
      <c r="AM65" s="11"/>
      <c r="AN65" s="11"/>
      <c r="AO65" s="65">
        <v>132400</v>
      </c>
      <c r="AP65" s="11"/>
      <c r="AQ65" s="11"/>
      <c r="AR65" s="11"/>
      <c r="AS65" s="11"/>
      <c r="AT65" s="65">
        <v>146500</v>
      </c>
      <c r="AU65" s="11"/>
      <c r="AV65" s="11"/>
      <c r="AW65" s="11"/>
      <c r="AX65" s="11"/>
      <c r="AY65" s="65">
        <v>257400</v>
      </c>
      <c r="AZ65" s="11"/>
      <c r="BA65" s="11"/>
      <c r="BB65" s="11"/>
      <c r="BC65" s="11"/>
      <c r="BD65" s="65">
        <v>187200</v>
      </c>
      <c r="BE65" s="11"/>
      <c r="BF65" s="11"/>
      <c r="BG65" s="11"/>
      <c r="BH65" s="11"/>
      <c r="BI65" s="65">
        <v>417400</v>
      </c>
      <c r="BJ65" s="11"/>
      <c r="BK65" s="11"/>
      <c r="BL65" s="11"/>
      <c r="BM65" s="11"/>
      <c r="BN65" s="65">
        <v>373559</v>
      </c>
      <c r="BO65" s="11"/>
      <c r="BP65" s="11"/>
      <c r="BQ65" s="11"/>
      <c r="BR65" s="11"/>
      <c r="BS65" s="65">
        <v>408336</v>
      </c>
      <c r="BT65" s="11"/>
      <c r="BU65" s="11"/>
      <c r="BV65" s="11"/>
      <c r="BW65" s="11"/>
      <c r="BX65" s="65">
        <v>297649</v>
      </c>
      <c r="BY65" s="11"/>
      <c r="BZ65" s="11"/>
      <c r="CA65" s="11"/>
      <c r="CB65" s="11"/>
      <c r="CC65" s="65">
        <v>241729</v>
      </c>
      <c r="CD65" s="11"/>
      <c r="CE65" s="11"/>
      <c r="CF65" s="11"/>
      <c r="CG65" s="11"/>
      <c r="CH65" s="65">
        <v>310100</v>
      </c>
      <c r="CI65" s="11"/>
      <c r="CJ65" s="11"/>
      <c r="CK65" s="11"/>
      <c r="CL65" s="11"/>
      <c r="CM65" s="65">
        <v>290300</v>
      </c>
      <c r="CN65" s="11"/>
      <c r="CO65" s="11"/>
      <c r="CP65" s="11"/>
      <c r="CQ65" s="11"/>
      <c r="CR65" s="65"/>
    </row>
    <row r="66" spans="1:96" s="2" customFormat="1" ht="11.15" customHeight="1" x14ac:dyDescent="0.25">
      <c r="A66" s="6" t="s">
        <v>101</v>
      </c>
      <c r="B66" s="31"/>
      <c r="C66" s="31"/>
      <c r="D66" s="31"/>
      <c r="E66" s="31"/>
      <c r="F66" s="84">
        <v>51800</v>
      </c>
      <c r="G66" s="31"/>
      <c r="H66" s="31"/>
      <c r="I66" s="31"/>
      <c r="J66" s="31"/>
      <c r="K66" s="84">
        <v>72600</v>
      </c>
      <c r="L66" s="31"/>
      <c r="M66" s="31"/>
      <c r="N66" s="31"/>
      <c r="O66" s="31"/>
      <c r="P66" s="76">
        <f>SUM(P64:P65)</f>
        <v>69300</v>
      </c>
      <c r="Q66" s="31"/>
      <c r="R66" s="31"/>
      <c r="S66" s="31"/>
      <c r="T66" s="31"/>
      <c r="U66" s="76">
        <f>SUM(U64:U65)</f>
        <v>68100</v>
      </c>
      <c r="V66" s="31"/>
      <c r="W66" s="31"/>
      <c r="X66" s="31"/>
      <c r="Y66" s="31"/>
      <c r="Z66" s="76">
        <f>SUM(Z64:Z65)</f>
        <v>171600</v>
      </c>
      <c r="AA66" s="31"/>
      <c r="AB66" s="31"/>
      <c r="AC66" s="31"/>
      <c r="AD66" s="31"/>
      <c r="AE66" s="76">
        <f>SUM(AE64:AE65)</f>
        <v>207000</v>
      </c>
      <c r="AF66" s="31"/>
      <c r="AG66" s="31"/>
      <c r="AH66" s="31"/>
      <c r="AI66" s="31"/>
      <c r="AJ66" s="76">
        <f>SUM(AJ64:AJ65)</f>
        <v>203000</v>
      </c>
      <c r="AK66" s="31"/>
      <c r="AL66" s="31"/>
      <c r="AM66" s="31"/>
      <c r="AN66" s="31"/>
      <c r="AO66" s="76">
        <f>SUM(AO64:AO65)</f>
        <v>265000</v>
      </c>
      <c r="AP66" s="31"/>
      <c r="AQ66" s="31"/>
      <c r="AR66" s="31"/>
      <c r="AS66" s="31"/>
      <c r="AT66" s="76">
        <f>SUM(AT64:AT65)</f>
        <v>321000</v>
      </c>
      <c r="AU66" s="31"/>
      <c r="AV66" s="31"/>
      <c r="AW66" s="31"/>
      <c r="AX66" s="31"/>
      <c r="AY66" s="76">
        <f>SUM(AY64:AY65)</f>
        <v>442500</v>
      </c>
      <c r="AZ66" s="31"/>
      <c r="BA66" s="31"/>
      <c r="BB66" s="31"/>
      <c r="BC66" s="31"/>
      <c r="BD66" s="76">
        <f>SUM(BD64:BD65)</f>
        <v>413900</v>
      </c>
      <c r="BE66" s="31"/>
      <c r="BF66" s="31"/>
      <c r="BG66" s="31"/>
      <c r="BH66" s="31"/>
      <c r="BI66" s="76">
        <f>SUM(BI64:BI65)</f>
        <v>743500</v>
      </c>
      <c r="BJ66" s="31"/>
      <c r="BK66" s="31"/>
      <c r="BL66" s="31"/>
      <c r="BM66" s="31"/>
      <c r="BN66" s="76">
        <f>SUM(BN64:BN65)</f>
        <v>712296</v>
      </c>
      <c r="BO66" s="31"/>
      <c r="BP66" s="31"/>
      <c r="BQ66" s="31"/>
      <c r="BR66" s="31"/>
      <c r="BS66" s="76">
        <f>SUM(BS64:BS65)</f>
        <v>693429</v>
      </c>
      <c r="BT66" s="31"/>
      <c r="BU66" s="31"/>
      <c r="BV66" s="31"/>
      <c r="BW66" s="31"/>
      <c r="BX66" s="76">
        <f>SUM(BX64:BX65)</f>
        <v>673681</v>
      </c>
      <c r="BY66" s="31"/>
      <c r="BZ66" s="31"/>
      <c r="CA66" s="31"/>
      <c r="CB66" s="31"/>
      <c r="CC66" s="76">
        <f>SUM(CC64:CC65)</f>
        <v>729066</v>
      </c>
      <c r="CD66" s="31"/>
      <c r="CE66" s="31"/>
      <c r="CF66" s="31"/>
      <c r="CG66" s="31"/>
      <c r="CH66" s="76">
        <f>SUM(CH64:CH65)</f>
        <v>811000</v>
      </c>
      <c r="CI66" s="31"/>
      <c r="CJ66" s="31"/>
      <c r="CK66" s="31"/>
      <c r="CL66" s="31"/>
      <c r="CM66" s="76">
        <f>SUM(CM64:CM65)</f>
        <v>691400</v>
      </c>
      <c r="CN66" s="31"/>
      <c r="CO66" s="31"/>
      <c r="CP66" s="31"/>
      <c r="CQ66" s="31"/>
      <c r="CR66" s="76"/>
    </row>
    <row r="67" spans="1:96" s="2" customFormat="1" ht="11.15" customHeight="1" x14ac:dyDescent="0.25">
      <c r="A67" s="21"/>
      <c r="B67" s="11"/>
      <c r="C67" s="11"/>
      <c r="D67" s="11"/>
      <c r="E67" s="11"/>
      <c r="F67" s="61"/>
      <c r="G67" s="11"/>
      <c r="H67" s="11"/>
      <c r="I67" s="11"/>
      <c r="J67" s="11"/>
      <c r="K67" s="61"/>
      <c r="L67" s="11"/>
      <c r="M67" s="11"/>
      <c r="N67" s="11"/>
      <c r="O67" s="11"/>
      <c r="P67" s="61"/>
      <c r="Q67" s="11"/>
      <c r="R67" s="11"/>
      <c r="S67" s="11"/>
      <c r="T67" s="11"/>
      <c r="U67" s="61"/>
      <c r="V67" s="11"/>
      <c r="W67" s="11"/>
      <c r="X67" s="11"/>
      <c r="Y67" s="11"/>
      <c r="Z67" s="61"/>
      <c r="AA67" s="11"/>
      <c r="AB67" s="11"/>
      <c r="AC67" s="11"/>
      <c r="AD67" s="11"/>
      <c r="AE67" s="61"/>
      <c r="AF67" s="11"/>
      <c r="AG67" s="11"/>
      <c r="AH67" s="11"/>
      <c r="AI67" s="11"/>
      <c r="AJ67" s="61"/>
      <c r="AK67" s="11"/>
      <c r="AL67" s="11"/>
      <c r="AM67" s="11"/>
      <c r="AN67" s="11"/>
      <c r="AO67" s="61"/>
      <c r="AP67" s="11"/>
      <c r="AQ67" s="11"/>
      <c r="AR67" s="11"/>
      <c r="AS67" s="11"/>
      <c r="AT67" s="61"/>
      <c r="AU67" s="11"/>
      <c r="AV67" s="11"/>
      <c r="AW67" s="11"/>
      <c r="AX67" s="11"/>
      <c r="AY67" s="61"/>
      <c r="AZ67" s="11"/>
      <c r="BA67" s="11"/>
      <c r="BB67" s="11"/>
      <c r="BC67" s="11"/>
      <c r="BD67" s="61"/>
      <c r="BE67" s="11"/>
      <c r="BF67" s="11"/>
      <c r="BG67" s="11"/>
      <c r="BH67" s="11"/>
      <c r="BI67" s="61"/>
      <c r="BJ67" s="11"/>
      <c r="BK67" s="11"/>
      <c r="BL67" s="11"/>
      <c r="BM67" s="11"/>
      <c r="BN67" s="61"/>
      <c r="BO67" s="11"/>
      <c r="BP67" s="11"/>
      <c r="BQ67" s="11"/>
      <c r="BR67" s="11"/>
      <c r="BS67" s="61"/>
      <c r="BT67" s="11"/>
      <c r="BU67" s="11"/>
      <c r="BV67" s="11"/>
      <c r="BW67" s="11"/>
      <c r="BX67" s="61"/>
      <c r="BY67" s="11"/>
      <c r="BZ67" s="11"/>
      <c r="CA67" s="11"/>
      <c r="CB67" s="11"/>
      <c r="CC67" s="61"/>
      <c r="CD67" s="11"/>
      <c r="CE67" s="11"/>
      <c r="CF67" s="11"/>
      <c r="CG67" s="11"/>
      <c r="CH67" s="61"/>
      <c r="CI67" s="11"/>
      <c r="CJ67" s="11"/>
      <c r="CK67" s="11"/>
      <c r="CL67" s="11"/>
      <c r="CM67" s="61"/>
      <c r="CN67" s="11"/>
      <c r="CO67" s="11"/>
      <c r="CP67" s="11"/>
      <c r="CQ67" s="11"/>
      <c r="CR67" s="61"/>
    </row>
    <row r="68" spans="1:96" s="2" customFormat="1" ht="11.15" customHeight="1" x14ac:dyDescent="0.25">
      <c r="A68" s="6" t="s">
        <v>142</v>
      </c>
      <c r="B68" s="54"/>
      <c r="C68" s="54"/>
      <c r="D68" s="54"/>
      <c r="E68" s="54"/>
      <c r="F68" s="79">
        <v>0.28999999999999998</v>
      </c>
      <c r="G68" s="54">
        <v>0.24</v>
      </c>
      <c r="H68" s="54">
        <v>0.23</v>
      </c>
      <c r="I68" s="54">
        <v>0.21</v>
      </c>
      <c r="J68" s="54">
        <v>0.2</v>
      </c>
      <c r="K68" s="79">
        <f>J68</f>
        <v>0.2</v>
      </c>
      <c r="L68" s="54">
        <v>0.22</v>
      </c>
      <c r="M68" s="54">
        <v>0.21</v>
      </c>
      <c r="N68" s="54">
        <v>0.2</v>
      </c>
      <c r="O68" s="54">
        <v>0.17</v>
      </c>
      <c r="P68" s="79">
        <f>O68</f>
        <v>0.17</v>
      </c>
      <c r="Q68" s="54">
        <v>0.15</v>
      </c>
      <c r="R68" s="54">
        <v>0.13</v>
      </c>
      <c r="S68" s="54">
        <v>0.12</v>
      </c>
      <c r="T68" s="54">
        <v>0.12</v>
      </c>
      <c r="U68" s="79">
        <f>T68</f>
        <v>0.12</v>
      </c>
      <c r="V68" s="54">
        <v>0.18</v>
      </c>
      <c r="W68" s="54">
        <v>0.17</v>
      </c>
      <c r="X68" s="54">
        <v>0.18</v>
      </c>
      <c r="Y68" s="54">
        <v>0.19</v>
      </c>
      <c r="Z68" s="79">
        <f>Y68</f>
        <v>0.19</v>
      </c>
      <c r="AA68" s="54">
        <v>0.15</v>
      </c>
      <c r="AB68" s="54">
        <v>0.18</v>
      </c>
      <c r="AC68" s="54">
        <v>0.2</v>
      </c>
      <c r="AD68" s="54">
        <v>0.17</v>
      </c>
      <c r="AE68" s="79">
        <f>AD68</f>
        <v>0.17</v>
      </c>
      <c r="AF68" s="54">
        <v>0.17</v>
      </c>
      <c r="AG68" s="54">
        <v>0.18</v>
      </c>
      <c r="AH68" s="54">
        <v>0.17</v>
      </c>
      <c r="AI68" s="54">
        <v>0.16</v>
      </c>
      <c r="AJ68" s="79">
        <f>AI68</f>
        <v>0.16</v>
      </c>
      <c r="AK68" s="54">
        <v>0.22</v>
      </c>
      <c r="AL68" s="54">
        <v>0.22</v>
      </c>
      <c r="AM68" s="54">
        <v>0.23</v>
      </c>
      <c r="AN68" s="54">
        <v>0.21</v>
      </c>
      <c r="AO68" s="79">
        <f>AN68</f>
        <v>0.21</v>
      </c>
      <c r="AP68" s="54">
        <v>0.22</v>
      </c>
      <c r="AQ68" s="54">
        <v>0.24</v>
      </c>
      <c r="AR68" s="54">
        <v>0.24</v>
      </c>
      <c r="AS68" s="54">
        <v>0.23</v>
      </c>
      <c r="AT68" s="79">
        <f>AS68</f>
        <v>0.23</v>
      </c>
      <c r="AU68" s="54">
        <v>0.27</v>
      </c>
      <c r="AV68" s="54">
        <v>0.24</v>
      </c>
      <c r="AW68" s="54">
        <v>0.28000000000000003</v>
      </c>
      <c r="AX68" s="54">
        <v>0.25</v>
      </c>
      <c r="AY68" s="79">
        <f>AX68</f>
        <v>0.25</v>
      </c>
      <c r="AZ68" s="54">
        <v>0.23</v>
      </c>
      <c r="BA68" s="54">
        <v>0.21</v>
      </c>
      <c r="BB68" s="54">
        <v>0.21</v>
      </c>
      <c r="BC68" s="54">
        <v>0.22</v>
      </c>
      <c r="BD68" s="79">
        <f>BC68</f>
        <v>0.22</v>
      </c>
      <c r="BE68" s="54">
        <v>0.25</v>
      </c>
      <c r="BF68" s="54">
        <v>0.27</v>
      </c>
      <c r="BG68" s="54">
        <v>0.28000000000000003</v>
      </c>
      <c r="BH68" s="54">
        <v>0.28000000000000003</v>
      </c>
      <c r="BI68" s="79">
        <f>BH68</f>
        <v>0.28000000000000003</v>
      </c>
      <c r="BJ68" s="54">
        <v>0.25</v>
      </c>
      <c r="BK68" s="54">
        <v>0.28000000000000003</v>
      </c>
      <c r="BL68" s="54">
        <v>0.28000000000000003</v>
      </c>
      <c r="BM68" s="54">
        <v>0.26</v>
      </c>
      <c r="BN68" s="79">
        <f>BM68</f>
        <v>0.26</v>
      </c>
      <c r="BO68" s="54">
        <v>0.23</v>
      </c>
      <c r="BP68" s="54">
        <v>0.24</v>
      </c>
      <c r="BQ68" s="54">
        <v>0.23</v>
      </c>
      <c r="BR68" s="54">
        <v>0.21</v>
      </c>
      <c r="BS68" s="79">
        <f>BR68</f>
        <v>0.21</v>
      </c>
      <c r="BT68" s="54">
        <v>0.21</v>
      </c>
      <c r="BU68" s="54">
        <v>0.22</v>
      </c>
      <c r="BV68" s="54">
        <v>0.25098414750666159</v>
      </c>
      <c r="BW68" s="54">
        <v>0.24047052968496946</v>
      </c>
      <c r="BX68" s="79">
        <f>BW68</f>
        <v>0.24047052968496946</v>
      </c>
      <c r="BY68" s="54">
        <v>0.23879316544574988</v>
      </c>
      <c r="BZ68" s="54">
        <v>0.22912321432775817</v>
      </c>
      <c r="CA68" s="54">
        <v>0.2133785931589853</v>
      </c>
      <c r="CB68" s="54">
        <v>0.18553477200107218</v>
      </c>
      <c r="CC68" s="79">
        <f>IF(ISBLANK(CB68),"",CB68)</f>
        <v>0.18553477200107218</v>
      </c>
      <c r="CD68" s="54">
        <v>0.19774055052141459</v>
      </c>
      <c r="CE68" s="54">
        <v>0.18876153449479524</v>
      </c>
      <c r="CF68" s="54">
        <v>0.15764328119489565</v>
      </c>
      <c r="CG68" s="54">
        <v>0.14500480431686133</v>
      </c>
      <c r="CH68" s="79">
        <f>IF(ISBLANK(CG68),"",CG68)</f>
        <v>0.14500480431686133</v>
      </c>
      <c r="CI68" s="54">
        <v>0.18664667512378857</v>
      </c>
      <c r="CJ68" s="54">
        <v>0.17068558196353398</v>
      </c>
      <c r="CK68" s="54">
        <v>0.13919207287244423</v>
      </c>
      <c r="CL68" s="54">
        <v>0.13184786219946845</v>
      </c>
      <c r="CM68" s="79">
        <f>IF(ISBLANK(CL68),"",CL68)</f>
        <v>0.13184786219946845</v>
      </c>
      <c r="CN68" s="54">
        <v>0.13069334166034371</v>
      </c>
      <c r="CO68" s="54">
        <v>0.12704713056748118</v>
      </c>
      <c r="CP68" s="54"/>
      <c r="CQ68" s="54"/>
      <c r="CR68" s="79" t="str">
        <f>IF(ISBLANK(CQ68),"",CQ68)</f>
        <v/>
      </c>
    </row>
    <row r="69" spans="1:96" s="2" customFormat="1" ht="11.15" customHeight="1" x14ac:dyDescent="0.25">
      <c r="A69" s="6"/>
      <c r="B69" s="11"/>
      <c r="C69" s="11"/>
      <c r="D69" s="11"/>
      <c r="E69" s="11"/>
      <c r="F69" s="79"/>
      <c r="G69" s="11"/>
      <c r="H69" s="11"/>
      <c r="I69" s="11"/>
      <c r="J69" s="11"/>
      <c r="K69" s="79"/>
      <c r="L69" s="11"/>
      <c r="M69" s="11"/>
      <c r="N69" s="11"/>
      <c r="O69" s="11"/>
      <c r="P69" s="79"/>
      <c r="Q69" s="11"/>
      <c r="R69" s="11"/>
      <c r="S69" s="11"/>
      <c r="T69" s="11"/>
      <c r="U69" s="79"/>
      <c r="V69" s="11"/>
      <c r="W69" s="11"/>
      <c r="X69" s="11"/>
      <c r="Y69" s="11"/>
      <c r="Z69" s="79"/>
      <c r="AA69" s="11"/>
      <c r="AB69" s="11"/>
      <c r="AC69" s="11"/>
      <c r="AD69" s="11"/>
      <c r="AE69" s="79"/>
      <c r="AF69" s="11"/>
      <c r="AG69" s="11"/>
      <c r="AH69" s="11"/>
      <c r="AI69" s="11"/>
      <c r="AJ69" s="79"/>
      <c r="AK69" s="11"/>
      <c r="AL69" s="11"/>
      <c r="AM69" s="11"/>
      <c r="AN69" s="11"/>
      <c r="AO69" s="79"/>
      <c r="AP69" s="11"/>
      <c r="AQ69" s="11"/>
      <c r="AR69" s="11"/>
      <c r="AS69" s="11"/>
      <c r="AT69" s="79"/>
      <c r="AU69" s="45"/>
      <c r="AV69" s="11"/>
      <c r="AW69" s="11"/>
      <c r="AX69" s="11"/>
      <c r="AY69" s="79"/>
      <c r="AZ69" s="11"/>
      <c r="BA69" s="11"/>
      <c r="BB69" s="11"/>
      <c r="BC69" s="11"/>
      <c r="BD69" s="79"/>
      <c r="BE69" s="11"/>
      <c r="BF69" s="11"/>
      <c r="BG69" s="11"/>
      <c r="BH69" s="11"/>
      <c r="BI69" s="79"/>
      <c r="BJ69" s="11"/>
      <c r="BK69" s="11"/>
      <c r="BL69" s="11"/>
      <c r="BM69" s="11"/>
      <c r="BN69" s="79"/>
      <c r="BO69" s="11"/>
      <c r="BP69" s="11"/>
      <c r="BQ69" s="11"/>
      <c r="BR69" s="11"/>
      <c r="BS69" s="79"/>
      <c r="BT69" s="11"/>
      <c r="BU69" s="11"/>
      <c r="BV69" s="11"/>
      <c r="BW69" s="11"/>
      <c r="BX69" s="79"/>
      <c r="BY69" s="11"/>
      <c r="BZ69" s="11"/>
      <c r="CA69" s="11"/>
      <c r="CB69" s="11"/>
      <c r="CC69" s="79"/>
      <c r="CD69" s="11"/>
      <c r="CE69" s="11"/>
      <c r="CF69" s="11"/>
      <c r="CG69" s="11"/>
      <c r="CH69" s="79"/>
      <c r="CI69" s="11"/>
      <c r="CJ69" s="11"/>
      <c r="CK69" s="11"/>
      <c r="CL69" s="11"/>
      <c r="CM69" s="79"/>
      <c r="CN69" s="11"/>
      <c r="CO69" s="11"/>
      <c r="CP69" s="11"/>
      <c r="CQ69" s="11"/>
      <c r="CR69" s="79"/>
    </row>
    <row r="70" spans="1:96" s="2" customFormat="1" ht="11.15" customHeight="1" x14ac:dyDescent="0.25">
      <c r="A70" s="35" t="s">
        <v>135</v>
      </c>
      <c r="B70" s="11"/>
      <c r="C70" s="11"/>
      <c r="D70" s="11"/>
      <c r="E70" s="11"/>
      <c r="F70" s="79"/>
      <c r="G70" s="11"/>
      <c r="H70" s="11"/>
      <c r="I70" s="11"/>
      <c r="J70" s="11"/>
      <c r="K70" s="79"/>
      <c r="L70" s="11"/>
      <c r="M70" s="11"/>
      <c r="N70" s="11"/>
      <c r="O70" s="11"/>
      <c r="P70" s="79"/>
      <c r="Q70" s="11"/>
      <c r="R70" s="11"/>
      <c r="S70" s="11"/>
      <c r="T70" s="11"/>
      <c r="U70" s="79"/>
      <c r="V70" s="11"/>
      <c r="W70" s="11"/>
      <c r="X70" s="11"/>
      <c r="Y70" s="11"/>
      <c r="Z70" s="79"/>
      <c r="AA70" s="11"/>
      <c r="AB70" s="11"/>
      <c r="AC70" s="11"/>
      <c r="AD70" s="11"/>
      <c r="AE70" s="79"/>
      <c r="AF70" s="11"/>
      <c r="AG70" s="11"/>
      <c r="AH70" s="11"/>
      <c r="AI70" s="11"/>
      <c r="AJ70" s="79"/>
      <c r="AK70" s="11"/>
      <c r="AL70" s="11"/>
      <c r="AM70" s="11"/>
      <c r="AN70" s="11"/>
      <c r="AO70" s="79"/>
      <c r="AP70" s="11"/>
      <c r="AQ70" s="11"/>
      <c r="AR70" s="11"/>
      <c r="AS70" s="11"/>
      <c r="AT70" s="79"/>
      <c r="AU70" s="45"/>
      <c r="AV70" s="11"/>
      <c r="AW70" s="11"/>
      <c r="AX70" s="11"/>
      <c r="AY70" s="79"/>
      <c r="AZ70" s="11"/>
      <c r="BA70" s="11"/>
      <c r="BB70" s="11"/>
      <c r="BC70" s="11"/>
      <c r="BD70" s="79"/>
      <c r="BE70" s="11"/>
      <c r="BF70" s="11"/>
      <c r="BG70" s="11"/>
      <c r="BH70" s="11"/>
      <c r="BI70" s="80"/>
      <c r="BJ70" s="11"/>
      <c r="BK70" s="11"/>
      <c r="BL70" s="11"/>
      <c r="BM70" s="11"/>
      <c r="BN70" s="80"/>
      <c r="BO70" s="11"/>
      <c r="BP70" s="11"/>
      <c r="BQ70" s="11"/>
      <c r="BR70" s="11"/>
      <c r="BS70" s="80"/>
      <c r="BT70" s="11"/>
      <c r="BU70" s="11"/>
      <c r="BV70" s="11"/>
      <c r="BW70" s="11"/>
      <c r="BX70" s="80"/>
      <c r="BY70" s="11"/>
      <c r="BZ70" s="11"/>
      <c r="CA70" s="11"/>
      <c r="CB70" s="11"/>
      <c r="CC70" s="80"/>
      <c r="CD70" s="11"/>
      <c r="CE70" s="11"/>
      <c r="CF70" s="11"/>
      <c r="CG70" s="11"/>
      <c r="CH70" s="80"/>
      <c r="CI70" s="11"/>
      <c r="CJ70" s="11"/>
      <c r="CK70" s="11"/>
      <c r="CL70" s="11"/>
      <c r="CM70" s="80"/>
      <c r="CN70" s="11"/>
      <c r="CO70" s="11"/>
      <c r="CP70" s="11"/>
      <c r="CQ70" s="11"/>
      <c r="CR70" s="80"/>
    </row>
    <row r="71" spans="1:96" s="2" customFormat="1" ht="11.15" customHeight="1" x14ac:dyDescent="0.25">
      <c r="A71" s="7" t="s">
        <v>130</v>
      </c>
      <c r="B71" s="11"/>
      <c r="C71" s="11"/>
      <c r="D71" s="11"/>
      <c r="E71" s="11"/>
      <c r="F71" s="79"/>
      <c r="G71" s="40"/>
      <c r="H71" s="40"/>
      <c r="I71" s="40"/>
      <c r="J71" s="8"/>
      <c r="K71" s="70">
        <v>7200</v>
      </c>
      <c r="L71" s="40">
        <v>3200</v>
      </c>
      <c r="M71" s="40">
        <v>3000</v>
      </c>
      <c r="N71" s="40">
        <v>2100</v>
      </c>
      <c r="O71" s="8">
        <f>P71-SUM(L71:N71)</f>
        <v>-1500</v>
      </c>
      <c r="P71" s="70">
        <v>6800</v>
      </c>
      <c r="Q71" s="40">
        <v>-2100</v>
      </c>
      <c r="R71" s="40">
        <v>-2000</v>
      </c>
      <c r="S71" s="40">
        <v>-200</v>
      </c>
      <c r="T71" s="40">
        <v>2800</v>
      </c>
      <c r="U71" s="70">
        <v>-1500</v>
      </c>
      <c r="V71" s="40">
        <v>1200</v>
      </c>
      <c r="W71" s="40">
        <v>-2600</v>
      </c>
      <c r="X71" s="40">
        <v>-1700</v>
      </c>
      <c r="Y71" s="40">
        <v>-1500</v>
      </c>
      <c r="Z71" s="70">
        <v>-4500</v>
      </c>
      <c r="AA71" s="40">
        <v>1200</v>
      </c>
      <c r="AB71" s="40">
        <v>7400</v>
      </c>
      <c r="AC71" s="40">
        <v>7300</v>
      </c>
      <c r="AD71" s="40">
        <v>1300</v>
      </c>
      <c r="AE71" s="70">
        <v>17200</v>
      </c>
      <c r="AF71" s="40">
        <v>-900</v>
      </c>
      <c r="AG71" s="40">
        <v>-4300</v>
      </c>
      <c r="AH71" s="40">
        <v>-7800</v>
      </c>
      <c r="AI71" s="40">
        <v>-1300</v>
      </c>
      <c r="AJ71" s="70">
        <v>-14300</v>
      </c>
      <c r="AK71" s="40">
        <v>-1600</v>
      </c>
      <c r="AL71" s="40">
        <v>-100</v>
      </c>
      <c r="AM71" s="40">
        <v>0</v>
      </c>
      <c r="AN71" s="8">
        <f>AO71-SUM(AK71:AM71)</f>
        <v>-1000</v>
      </c>
      <c r="AO71" s="70">
        <v>-2700</v>
      </c>
      <c r="AP71" s="40">
        <v>600</v>
      </c>
      <c r="AQ71" s="40">
        <v>2700</v>
      </c>
      <c r="AR71" s="40">
        <v>-800</v>
      </c>
      <c r="AS71" s="40">
        <v>-10600</v>
      </c>
      <c r="AT71" s="70">
        <v>-8500</v>
      </c>
      <c r="AU71" s="40">
        <v>-21600</v>
      </c>
      <c r="AV71" s="40">
        <v>-19700</v>
      </c>
      <c r="AW71" s="40">
        <v>-20600</v>
      </c>
      <c r="AX71" s="40">
        <v>-15000</v>
      </c>
      <c r="AY71" s="70">
        <v>-76900</v>
      </c>
      <c r="AZ71" s="40">
        <v>-5400</v>
      </c>
      <c r="BA71" s="40">
        <v>-3200</v>
      </c>
      <c r="BB71" s="40">
        <v>-2000</v>
      </c>
      <c r="BC71" s="40">
        <v>-5500</v>
      </c>
      <c r="BD71" s="70">
        <f>SUM(AZ71:BC71)</f>
        <v>-16100</v>
      </c>
      <c r="BE71" s="40">
        <v>-9700</v>
      </c>
      <c r="BF71" s="40">
        <v>-11400</v>
      </c>
      <c r="BG71" s="40">
        <v>4700</v>
      </c>
      <c r="BH71" s="40">
        <v>14400</v>
      </c>
      <c r="BI71" s="70">
        <v>-2000</v>
      </c>
      <c r="BJ71" s="40">
        <v>29800</v>
      </c>
      <c r="BK71" s="40">
        <v>22500</v>
      </c>
      <c r="BL71" s="40">
        <v>-8400</v>
      </c>
      <c r="BM71" s="40">
        <v>-10100</v>
      </c>
      <c r="BN71" s="70">
        <v>33800</v>
      </c>
      <c r="BO71" s="40">
        <v>-14700</v>
      </c>
      <c r="BP71" s="40">
        <v>-18100</v>
      </c>
      <c r="BQ71" s="40">
        <v>-7900</v>
      </c>
      <c r="BR71" s="40">
        <v>-3700</v>
      </c>
      <c r="BS71" s="70">
        <v>-44500</v>
      </c>
      <c r="BT71" s="40">
        <v>-5400</v>
      </c>
      <c r="BU71" s="40">
        <v>-8000</v>
      </c>
      <c r="BV71" s="40">
        <v>4200</v>
      </c>
      <c r="BW71" s="40">
        <v>11700</v>
      </c>
      <c r="BX71" s="70">
        <v>2500</v>
      </c>
      <c r="BY71" s="40">
        <v>16900</v>
      </c>
      <c r="BZ71" s="40">
        <v>22900</v>
      </c>
      <c r="CA71" s="40">
        <v>9100</v>
      </c>
      <c r="CB71" s="40">
        <v>-3000</v>
      </c>
      <c r="CC71" s="70">
        <v>45900</v>
      </c>
      <c r="CD71" s="40">
        <v>-9670</v>
      </c>
      <c r="CE71" s="40">
        <v>-18390</v>
      </c>
      <c r="CF71" s="40">
        <v>-25980</v>
      </c>
      <c r="CG71" s="40">
        <v>-24990</v>
      </c>
      <c r="CH71" s="70">
        <v>-79020</v>
      </c>
      <c r="CI71" s="40">
        <v>-15311</v>
      </c>
      <c r="CJ71" s="40">
        <v>-8774</v>
      </c>
      <c r="CK71" s="40">
        <v>-5717</v>
      </c>
      <c r="CL71" s="40">
        <v>-5085</v>
      </c>
      <c r="CM71" s="70">
        <v>-34890</v>
      </c>
      <c r="CN71" s="40">
        <v>-7801</v>
      </c>
      <c r="CO71" s="40">
        <v>-5931</v>
      </c>
      <c r="CP71" s="40"/>
      <c r="CQ71" s="40"/>
      <c r="CR71" s="70"/>
    </row>
    <row r="72" spans="1:96" s="2" customFormat="1" ht="11.15" customHeight="1" x14ac:dyDescent="0.25">
      <c r="A72" s="7" t="s">
        <v>136</v>
      </c>
      <c r="B72" s="11"/>
      <c r="C72" s="11"/>
      <c r="D72" s="11"/>
      <c r="E72" s="11"/>
      <c r="F72" s="79"/>
      <c r="G72" s="36"/>
      <c r="H72" s="36"/>
      <c r="I72" s="36"/>
      <c r="J72" s="36"/>
      <c r="K72" s="65"/>
      <c r="L72" s="36"/>
      <c r="M72" s="36"/>
      <c r="N72" s="36"/>
      <c r="O72" s="36"/>
      <c r="P72" s="65"/>
      <c r="Q72" s="36">
        <v>-500</v>
      </c>
      <c r="R72" s="36">
        <v>-1400</v>
      </c>
      <c r="S72" s="36">
        <v>-600</v>
      </c>
      <c r="T72" s="36">
        <v>400</v>
      </c>
      <c r="U72" s="65">
        <v>-2100</v>
      </c>
      <c r="V72" s="36">
        <v>400</v>
      </c>
      <c r="W72" s="36">
        <v>-1400</v>
      </c>
      <c r="X72" s="36">
        <v>-200</v>
      </c>
      <c r="Y72" s="36">
        <v>0</v>
      </c>
      <c r="Z72" s="65">
        <v>-1600</v>
      </c>
      <c r="AA72" s="36">
        <v>-100</v>
      </c>
      <c r="AB72" s="36">
        <v>3600</v>
      </c>
      <c r="AC72" s="36">
        <v>3400</v>
      </c>
      <c r="AD72" s="36">
        <v>200</v>
      </c>
      <c r="AE72" s="65">
        <v>7100</v>
      </c>
      <c r="AF72" s="36">
        <v>-500</v>
      </c>
      <c r="AG72" s="36">
        <v>-2300</v>
      </c>
      <c r="AH72" s="36">
        <v>-5000</v>
      </c>
      <c r="AI72" s="36">
        <v>-800</v>
      </c>
      <c r="AJ72" s="65">
        <v>-7800</v>
      </c>
      <c r="AK72" s="36">
        <v>-1000</v>
      </c>
      <c r="AL72" s="36">
        <v>0</v>
      </c>
      <c r="AM72" s="36">
        <v>0</v>
      </c>
      <c r="AN72" s="11">
        <f t="shared" ref="AN72:AN73" si="306">AO72-SUM(AK72:AM72)</f>
        <v>-500</v>
      </c>
      <c r="AO72" s="65">
        <v>-1500</v>
      </c>
      <c r="AP72" s="36">
        <v>900</v>
      </c>
      <c r="AQ72" s="36">
        <v>400</v>
      </c>
      <c r="AR72" s="36">
        <v>-600</v>
      </c>
      <c r="AS72" s="36">
        <v>-5600</v>
      </c>
      <c r="AT72" s="65">
        <v>-6300</v>
      </c>
      <c r="AU72" s="36">
        <v>-10900</v>
      </c>
      <c r="AV72" s="36">
        <v>-9900</v>
      </c>
      <c r="AW72" s="36">
        <v>-9500</v>
      </c>
      <c r="AX72" s="36">
        <v>-7600</v>
      </c>
      <c r="AY72" s="65">
        <v>-37900</v>
      </c>
      <c r="AZ72" s="36">
        <v>-2800</v>
      </c>
      <c r="BA72" s="36">
        <v>-1100</v>
      </c>
      <c r="BB72" s="36">
        <v>-1100</v>
      </c>
      <c r="BC72" s="36">
        <v>-3600</v>
      </c>
      <c r="BD72" s="65">
        <v>-8600</v>
      </c>
      <c r="BE72" s="36">
        <v>-7200</v>
      </c>
      <c r="BF72" s="36">
        <v>-7900</v>
      </c>
      <c r="BG72" s="36">
        <v>2500</v>
      </c>
      <c r="BH72" s="36">
        <v>8700</v>
      </c>
      <c r="BI72" s="65">
        <v>-4300</v>
      </c>
      <c r="BJ72" s="36">
        <v>18600</v>
      </c>
      <c r="BK72" s="36">
        <v>14900</v>
      </c>
      <c r="BL72" s="36">
        <v>-4200</v>
      </c>
      <c r="BM72" s="36">
        <v>-5600</v>
      </c>
      <c r="BN72" s="65">
        <v>23300</v>
      </c>
      <c r="BO72" s="36">
        <v>-7800</v>
      </c>
      <c r="BP72" s="36">
        <v>-10400</v>
      </c>
      <c r="BQ72" s="36">
        <v>-4200</v>
      </c>
      <c r="BR72" s="36">
        <v>-1800</v>
      </c>
      <c r="BS72" s="65">
        <v>-23900</v>
      </c>
      <c r="BT72" s="36">
        <v>-2600</v>
      </c>
      <c r="BU72" s="36">
        <v>-4100</v>
      </c>
      <c r="BV72" s="36">
        <v>2900</v>
      </c>
      <c r="BW72" s="36">
        <v>7500</v>
      </c>
      <c r="BX72" s="65">
        <v>3700</v>
      </c>
      <c r="BY72" s="36">
        <v>10000</v>
      </c>
      <c r="BZ72" s="101">
        <v>12800</v>
      </c>
      <c r="CA72" s="101">
        <v>5600</v>
      </c>
      <c r="CB72" s="101">
        <v>-1400</v>
      </c>
      <c r="CC72" s="65">
        <v>27000</v>
      </c>
      <c r="CD72" s="40">
        <v>-4360</v>
      </c>
      <c r="CE72" s="40">
        <v>-10080</v>
      </c>
      <c r="CF72" s="40">
        <v>-13720</v>
      </c>
      <c r="CG72" s="40">
        <v>-16240</v>
      </c>
      <c r="CH72" s="102">
        <v>-46480</v>
      </c>
      <c r="CI72" s="40">
        <v>-8219</v>
      </c>
      <c r="CJ72" s="40">
        <v>-4937</v>
      </c>
      <c r="CK72" s="40">
        <v>-4360</v>
      </c>
      <c r="CL72" s="40">
        <v>-3631</v>
      </c>
      <c r="CM72" s="70">
        <v>-21240</v>
      </c>
      <c r="CN72" s="40">
        <v>-4695</v>
      </c>
      <c r="CO72" s="40">
        <v>-2834</v>
      </c>
      <c r="CP72" s="40"/>
      <c r="CQ72" s="40"/>
      <c r="CR72" s="70"/>
    </row>
    <row r="73" spans="1:96" s="2" customFormat="1" ht="11.15" customHeight="1" x14ac:dyDescent="0.25">
      <c r="A73" s="7" t="s">
        <v>137</v>
      </c>
      <c r="B73" s="11"/>
      <c r="C73" s="11"/>
      <c r="D73" s="11"/>
      <c r="E73" s="11"/>
      <c r="F73" s="79"/>
      <c r="G73" s="36"/>
      <c r="H73" s="36"/>
      <c r="I73" s="36"/>
      <c r="J73" s="36"/>
      <c r="K73" s="65"/>
      <c r="L73" s="36"/>
      <c r="M73" s="36"/>
      <c r="N73" s="36"/>
      <c r="O73" s="36"/>
      <c r="P73" s="65"/>
      <c r="Q73" s="36">
        <f>-200-400-400</f>
        <v>-1000</v>
      </c>
      <c r="R73" s="36">
        <v>-300</v>
      </c>
      <c r="S73" s="36">
        <v>-200</v>
      </c>
      <c r="T73" s="36">
        <f>400+200</f>
        <v>600</v>
      </c>
      <c r="U73" s="65">
        <v>-900</v>
      </c>
      <c r="V73" s="36">
        <v>500</v>
      </c>
      <c r="W73" s="36">
        <v>-100</v>
      </c>
      <c r="X73" s="36">
        <v>-300</v>
      </c>
      <c r="Y73" s="36">
        <v>-500</v>
      </c>
      <c r="Z73" s="65">
        <v>-300</v>
      </c>
      <c r="AA73" s="36">
        <v>100</v>
      </c>
      <c r="AB73" s="36">
        <v>1000</v>
      </c>
      <c r="AC73" s="36">
        <v>900</v>
      </c>
      <c r="AD73" s="36">
        <v>100</v>
      </c>
      <c r="AE73" s="65">
        <v>2000</v>
      </c>
      <c r="AF73" s="36">
        <v>-200</v>
      </c>
      <c r="AG73" s="36">
        <v>-700</v>
      </c>
      <c r="AH73" s="36">
        <v>-1200</v>
      </c>
      <c r="AI73" s="36">
        <v>0</v>
      </c>
      <c r="AJ73" s="65">
        <v>-2100</v>
      </c>
      <c r="AK73" s="36">
        <v>-100</v>
      </c>
      <c r="AL73" s="36">
        <v>-200</v>
      </c>
      <c r="AM73" s="36">
        <v>100</v>
      </c>
      <c r="AN73" s="11">
        <f t="shared" si="306"/>
        <v>100</v>
      </c>
      <c r="AO73" s="65">
        <v>-100</v>
      </c>
      <c r="AP73" s="36">
        <v>-600</v>
      </c>
      <c r="AQ73" s="36">
        <v>-200</v>
      </c>
      <c r="AR73" s="36">
        <v>-500</v>
      </c>
      <c r="AS73" s="36">
        <v>-2400</v>
      </c>
      <c r="AT73" s="65">
        <v>-3600</v>
      </c>
      <c r="AU73" s="36">
        <v>-4100</v>
      </c>
      <c r="AV73" s="36">
        <v>-4000</v>
      </c>
      <c r="AW73" s="36">
        <v>-4100</v>
      </c>
      <c r="AX73" s="36">
        <v>-2700</v>
      </c>
      <c r="AY73" s="65">
        <v>-15000</v>
      </c>
      <c r="AZ73" s="36">
        <v>-1100</v>
      </c>
      <c r="BA73" s="36">
        <v>-1000</v>
      </c>
      <c r="BB73" s="36">
        <v>-100</v>
      </c>
      <c r="BC73" s="36">
        <v>0</v>
      </c>
      <c r="BD73" s="65">
        <v>-2200</v>
      </c>
      <c r="BE73" s="36">
        <v>800</v>
      </c>
      <c r="BF73" s="36">
        <v>500</v>
      </c>
      <c r="BG73" s="36">
        <v>900</v>
      </c>
      <c r="BH73" s="36">
        <v>1400</v>
      </c>
      <c r="BI73" s="65">
        <v>3600</v>
      </c>
      <c r="BJ73" s="36">
        <v>1900</v>
      </c>
      <c r="BK73" s="36">
        <v>200</v>
      </c>
      <c r="BL73" s="36">
        <v>-1600</v>
      </c>
      <c r="BM73" s="36">
        <v>-2100</v>
      </c>
      <c r="BN73" s="65">
        <v>-1300</v>
      </c>
      <c r="BO73" s="36">
        <v>-2600</v>
      </c>
      <c r="BP73" s="36">
        <v>-1800</v>
      </c>
      <c r="BQ73" s="36">
        <v>-200</v>
      </c>
      <c r="BR73" s="36">
        <v>-1200</v>
      </c>
      <c r="BS73" s="65">
        <v>-5800</v>
      </c>
      <c r="BT73" s="36">
        <v>-900</v>
      </c>
      <c r="BU73" s="36">
        <v>-2300</v>
      </c>
      <c r="BV73" s="36">
        <v>-1300</v>
      </c>
      <c r="BW73" s="36">
        <v>-1700</v>
      </c>
      <c r="BX73" s="65">
        <v>-6200</v>
      </c>
      <c r="BY73" s="36">
        <v>-600</v>
      </c>
      <c r="BZ73" s="101">
        <v>1300</v>
      </c>
      <c r="CA73" s="101">
        <v>500</v>
      </c>
      <c r="CB73" s="101">
        <v>-200</v>
      </c>
      <c r="CC73" s="65">
        <v>1000</v>
      </c>
      <c r="CD73" s="40">
        <v>-2660</v>
      </c>
      <c r="CE73" s="40">
        <v>-160</v>
      </c>
      <c r="CF73" s="40">
        <v>-460</v>
      </c>
      <c r="CG73" s="40">
        <v>8800</v>
      </c>
      <c r="CH73" s="102">
        <v>8990</v>
      </c>
      <c r="CI73" s="40">
        <v>-192</v>
      </c>
      <c r="CJ73" s="40">
        <v>-1905</v>
      </c>
      <c r="CK73" s="40">
        <v>-1168</v>
      </c>
      <c r="CL73" s="40">
        <v>-1655</v>
      </c>
      <c r="CM73" s="70">
        <v>-4920</v>
      </c>
      <c r="CN73" s="40">
        <v>-1899</v>
      </c>
      <c r="CO73" s="40">
        <v>-1306</v>
      </c>
      <c r="CP73" s="40"/>
      <c r="CQ73" s="40"/>
      <c r="CR73" s="70"/>
    </row>
    <row r="74" spans="1:96" s="2" customFormat="1" ht="11.15" customHeight="1" x14ac:dyDescent="0.25">
      <c r="A74" s="6"/>
      <c r="B74" s="11"/>
      <c r="C74" s="11"/>
      <c r="D74" s="11"/>
      <c r="E74" s="11"/>
      <c r="F74" s="79"/>
      <c r="G74" s="11"/>
      <c r="H74" s="11"/>
      <c r="I74" s="11"/>
      <c r="J74" s="11"/>
      <c r="K74" s="79"/>
      <c r="L74" s="11"/>
      <c r="M74" s="11"/>
      <c r="N74" s="11"/>
      <c r="O74" s="11"/>
      <c r="P74" s="79"/>
      <c r="Q74" s="11"/>
      <c r="R74" s="11"/>
      <c r="S74" s="11"/>
      <c r="T74" s="11"/>
      <c r="U74" s="79"/>
      <c r="V74" s="11"/>
      <c r="W74" s="11"/>
      <c r="X74" s="11"/>
      <c r="Y74" s="11"/>
      <c r="Z74" s="79"/>
      <c r="AA74" s="11"/>
      <c r="AB74" s="11"/>
      <c r="AC74" s="11"/>
      <c r="AD74" s="11"/>
      <c r="AE74" s="79"/>
      <c r="AF74" s="45"/>
      <c r="AG74" s="11"/>
      <c r="AH74" s="11"/>
      <c r="AI74" s="11"/>
      <c r="AJ74" s="79"/>
      <c r="AK74" s="45"/>
      <c r="AL74" s="11"/>
      <c r="AM74" s="11"/>
      <c r="AN74" s="11"/>
      <c r="AO74" s="79"/>
      <c r="AP74" s="45"/>
      <c r="AQ74" s="11"/>
      <c r="AR74" s="11"/>
      <c r="AS74" s="11"/>
      <c r="AT74" s="79"/>
      <c r="AU74" s="45"/>
      <c r="AV74" s="11"/>
      <c r="AW74" s="11"/>
      <c r="AX74" s="11"/>
      <c r="AY74" s="79"/>
      <c r="AZ74" s="45"/>
      <c r="BA74" s="11"/>
      <c r="BB74" s="11"/>
      <c r="BC74" s="11"/>
      <c r="BD74" s="79"/>
      <c r="BE74" s="45"/>
      <c r="BF74" s="11"/>
      <c r="BG74" s="11"/>
      <c r="BH74" s="11"/>
      <c r="BI74" s="79"/>
      <c r="BJ74" s="45"/>
      <c r="BK74" s="11"/>
      <c r="BL74" s="11"/>
      <c r="BM74" s="11"/>
      <c r="BN74" s="79"/>
      <c r="BO74" s="45"/>
      <c r="BP74" s="11"/>
      <c r="BQ74" s="11"/>
      <c r="BR74" s="11"/>
      <c r="BS74" s="79"/>
      <c r="BT74" s="45"/>
      <c r="BU74" s="11"/>
      <c r="BV74" s="11"/>
      <c r="BW74" s="11"/>
      <c r="BX74" s="79"/>
      <c r="BY74" s="45"/>
      <c r="BZ74" s="11"/>
      <c r="CA74" s="11"/>
      <c r="CB74" s="11"/>
      <c r="CC74" s="79"/>
      <c r="CD74" s="45"/>
      <c r="CE74" s="11"/>
      <c r="CF74" s="11"/>
      <c r="CG74" s="11"/>
      <c r="CH74" s="79"/>
      <c r="CI74" s="45"/>
      <c r="CJ74" s="45"/>
      <c r="CK74" s="11"/>
      <c r="CL74" s="11"/>
      <c r="CM74" s="79"/>
      <c r="CN74" s="45"/>
      <c r="CO74" s="45"/>
      <c r="CP74" s="11"/>
      <c r="CQ74" s="11"/>
      <c r="CR74" s="79"/>
    </row>
    <row r="75" spans="1:96" s="2" customFormat="1" ht="11.15" customHeight="1" x14ac:dyDescent="0.25">
      <c r="A75" s="6" t="s">
        <v>138</v>
      </c>
      <c r="B75" s="11"/>
      <c r="C75" s="11"/>
      <c r="D75" s="11"/>
      <c r="E75" s="11"/>
      <c r="F75" s="79"/>
      <c r="G75" s="11"/>
      <c r="H75" s="11"/>
      <c r="I75" s="11"/>
      <c r="J75" s="11"/>
      <c r="K75" s="79"/>
      <c r="L75" s="11"/>
      <c r="M75" s="11"/>
      <c r="N75" s="11"/>
      <c r="O75" s="11"/>
      <c r="P75" s="79"/>
      <c r="Q75" s="11"/>
      <c r="R75" s="11"/>
      <c r="S75" s="11"/>
      <c r="T75" s="11"/>
      <c r="U75" s="79"/>
      <c r="V75" s="11"/>
      <c r="W75" s="11"/>
      <c r="X75" s="11"/>
      <c r="Y75" s="11"/>
      <c r="Z75" s="79"/>
      <c r="AA75" s="11"/>
      <c r="AB75" s="11"/>
      <c r="AC75" s="11"/>
      <c r="AD75" s="11"/>
      <c r="AE75" s="79"/>
      <c r="AF75" s="45"/>
      <c r="AG75" s="11"/>
      <c r="AH75" s="11"/>
      <c r="AI75" s="11"/>
      <c r="AJ75" s="81"/>
      <c r="AK75" s="45"/>
      <c r="AL75" s="11"/>
      <c r="AM75" s="11"/>
      <c r="AN75" s="11"/>
      <c r="AO75" s="81"/>
      <c r="AP75" s="45"/>
      <c r="AQ75" s="11"/>
      <c r="AR75" s="11"/>
      <c r="AS75" s="11"/>
      <c r="AT75" s="81"/>
      <c r="AU75" s="45"/>
      <c r="AV75" s="11"/>
      <c r="AW75" s="11"/>
      <c r="AX75" s="11"/>
      <c r="AY75" s="81"/>
      <c r="AZ75" s="45"/>
      <c r="BA75" s="11"/>
      <c r="BB75" s="11"/>
      <c r="BC75" s="11"/>
      <c r="BD75" s="81"/>
      <c r="BE75" s="45"/>
      <c r="BF75" s="11"/>
      <c r="BG75" s="11"/>
      <c r="BH75" s="11"/>
      <c r="BI75" s="81"/>
      <c r="BJ75" s="45"/>
      <c r="BK75" s="11"/>
      <c r="BL75" s="11"/>
      <c r="BM75" s="11"/>
      <c r="BN75" s="81"/>
      <c r="BO75" s="45"/>
      <c r="BP75" s="11"/>
      <c r="BQ75" s="11"/>
      <c r="BR75" s="11"/>
      <c r="BS75" s="81"/>
      <c r="BT75" s="45"/>
      <c r="BU75" s="11"/>
      <c r="BV75" s="11"/>
      <c r="BW75" s="11"/>
      <c r="BX75" s="81"/>
      <c r="BY75" s="45"/>
      <c r="BZ75" s="11"/>
      <c r="CA75" s="11"/>
      <c r="CB75" s="11"/>
      <c r="CC75" s="81"/>
      <c r="CD75" s="45"/>
      <c r="CE75" s="11"/>
      <c r="CF75" s="11"/>
      <c r="CG75" s="11"/>
      <c r="CH75" s="81"/>
      <c r="CI75" s="45"/>
      <c r="CJ75" s="45"/>
      <c r="CK75" s="11"/>
      <c r="CL75" s="11"/>
      <c r="CM75" s="81"/>
      <c r="CN75" s="45"/>
      <c r="CO75" s="45"/>
      <c r="CP75" s="11"/>
      <c r="CQ75" s="11"/>
      <c r="CR75" s="81"/>
    </row>
    <row r="76" spans="1:96" s="2" customFormat="1" ht="11.15" customHeight="1" x14ac:dyDescent="0.25">
      <c r="A76" s="7" t="s">
        <v>130</v>
      </c>
      <c r="B76" s="11"/>
      <c r="C76" s="11"/>
      <c r="D76" s="11"/>
      <c r="E76" s="11"/>
      <c r="F76" s="79"/>
      <c r="G76" s="52"/>
      <c r="H76" s="52"/>
      <c r="I76" s="52"/>
      <c r="J76" s="52"/>
      <c r="K76" s="58">
        <f>'Income Statement'!K5-'Key Metrics'!K71</f>
        <v>181477</v>
      </c>
      <c r="L76" s="52">
        <f>'Income Statement'!L5-'Key Metrics'!L71</f>
        <v>49676</v>
      </c>
      <c r="M76" s="52">
        <f>'Income Statement'!M5-'Key Metrics'!M71</f>
        <v>52994</v>
      </c>
      <c r="N76" s="52">
        <f>'Income Statement'!N5-'Key Metrics'!N71</f>
        <v>59912</v>
      </c>
      <c r="O76" s="52">
        <f>'Income Statement'!O5-'Key Metrics'!O71</f>
        <v>59694</v>
      </c>
      <c r="P76" s="58">
        <f>SUM(L76:O76)</f>
        <v>222276</v>
      </c>
      <c r="Q76" s="52">
        <f>'Income Statement'!Q5-'Key Metrics'!Q71</f>
        <v>47508</v>
      </c>
      <c r="R76" s="52">
        <f>'Income Statement'!R5-'Key Metrics'!R71</f>
        <v>42385</v>
      </c>
      <c r="S76" s="52">
        <f>'Income Statement'!S5-'Key Metrics'!S71</f>
        <v>46008</v>
      </c>
      <c r="T76" s="52">
        <f>'Income Statement'!T5-'Key Metrics'!T71</f>
        <v>51493</v>
      </c>
      <c r="U76" s="58">
        <f>SUM(Q76:T76)</f>
        <v>187394</v>
      </c>
      <c r="V76" s="52">
        <f>'Income Statement'!V5-'Key Metrics'!V71</f>
        <v>50004</v>
      </c>
      <c r="W76" s="52">
        <f>'Income Statement'!W5-'Key Metrics'!W71</f>
        <v>69858</v>
      </c>
      <c r="X76" s="52">
        <f>'Income Statement'!X5-'Key Metrics'!X71</f>
        <v>81509</v>
      </c>
      <c r="Y76" s="52">
        <f>'Income Statement'!Y5-'Key Metrics'!Y71</f>
        <v>102485</v>
      </c>
      <c r="Z76" s="58">
        <f>SUM(V76:Y76)</f>
        <v>303856</v>
      </c>
      <c r="AA76" s="52">
        <f>'Income Statement'!AA5-'Key Metrics'!AA71</f>
        <v>98758</v>
      </c>
      <c r="AB76" s="52">
        <f>'Income Statement'!AB5-'Key Metrics'!AB71</f>
        <v>114536</v>
      </c>
      <c r="AC76" s="52">
        <f>'Income Statement'!AC5-'Key Metrics'!AC71</f>
        <v>121764</v>
      </c>
      <c r="AD76" s="52">
        <f>'Income Statement'!AD5-'Key Metrics'!AD71</f>
        <v>122224</v>
      </c>
      <c r="AE76" s="58">
        <f>SUM(AA76:AD76)</f>
        <v>457282</v>
      </c>
      <c r="AF76" s="52">
        <f>'Income Statement'!AF5-'Key Metrics'!AF71</f>
        <v>124092</v>
      </c>
      <c r="AG76" s="52">
        <f>'Income Statement'!AG5-'Key Metrics'!AG71</f>
        <v>142227</v>
      </c>
      <c r="AH76" s="52">
        <f>'Income Statement'!AH5-'Key Metrics'!AH71</f>
        <v>164179</v>
      </c>
      <c r="AI76" s="52">
        <f>'Income Statement'!AI5-'Key Metrics'!AI71</f>
        <v>146330</v>
      </c>
      <c r="AJ76" s="58">
        <f>SUM(AF76:AI76)</f>
        <v>576828</v>
      </c>
      <c r="AK76" s="52">
        <f>'Income Statement'!AK5-'Key Metrics'!AK71</f>
        <v>143452</v>
      </c>
      <c r="AL76" s="52">
        <f>'Income Statement'!AL5-'Key Metrics'!AL71</f>
        <v>168271</v>
      </c>
      <c r="AM76" s="52">
        <f>'Income Statement'!AM5-'Key Metrics'!AM71</f>
        <v>172152</v>
      </c>
      <c r="AN76" s="52">
        <f>'Income Statement'!AN5-'Key Metrics'!AN71</f>
        <v>166859</v>
      </c>
      <c r="AO76" s="58">
        <f>SUM(AK76:AN76)</f>
        <v>650734</v>
      </c>
      <c r="AP76" s="52">
        <f>'Income Statement'!AP5-'Key Metrics'!AP71</f>
        <v>169975</v>
      </c>
      <c r="AQ76" s="52">
        <f>'Income Statement'!AQ5-'Key Metrics'!AQ71</f>
        <v>189504</v>
      </c>
      <c r="AR76" s="52">
        <f>'Income Statement'!AR5-'Key Metrics'!AR71</f>
        <v>200451</v>
      </c>
      <c r="AS76" s="52">
        <f>'Income Statement'!AS5-'Key Metrics'!AS71</f>
        <v>218002</v>
      </c>
      <c r="AT76" s="58">
        <f>SUM(AP76:AS76)</f>
        <v>777932</v>
      </c>
      <c r="AU76" s="52">
        <f>'Income Statement'!AU5-'Key Metrics'!AU71</f>
        <v>220560</v>
      </c>
      <c r="AV76" s="52">
        <f>'Income Statement'!AV5-'Key Metrics'!AV71</f>
        <v>254838</v>
      </c>
      <c r="AW76" s="52">
        <f>'Income Statement'!AW5-'Key Metrics'!AW71</f>
        <v>264141</v>
      </c>
      <c r="AX76" s="52">
        <f>'Income Statement'!AX5-'Key Metrics'!AX71</f>
        <v>238626</v>
      </c>
      <c r="AY76" s="58">
        <f>SUM(AU76:AX76)</f>
        <v>978165</v>
      </c>
      <c r="AZ76" s="52">
        <f>'Income Statement'!AZ5-'Key Metrics'!AZ71</f>
        <v>212648</v>
      </c>
      <c r="BA76" s="52">
        <f>'Income Statement'!BA5-'Key Metrics'!BA71</f>
        <v>255987</v>
      </c>
      <c r="BB76" s="52">
        <f>'Income Statement'!BB5-'Key Metrics'!BB71</f>
        <v>268017</v>
      </c>
      <c r="BC76" s="52">
        <f>'Income Statement'!BC5-'Key Metrics'!BC71</f>
        <v>285621</v>
      </c>
      <c r="BD76" s="58">
        <f>SUM(AZ76:BC76)</f>
        <v>1022273</v>
      </c>
      <c r="BE76" s="52">
        <f>'Income Statement'!BE5-'Key Metrics'!BE71</f>
        <v>295546</v>
      </c>
      <c r="BF76" s="52">
        <f>'Income Statement'!BF5-'Key Metrics'!BF71</f>
        <v>380773</v>
      </c>
      <c r="BG76" s="52">
        <f>'Income Statement'!BG5-'Key Metrics'!BG71</f>
        <v>387915</v>
      </c>
      <c r="BH76" s="52">
        <f>'Income Statement'!BH5-'Key Metrics'!BH71</f>
        <v>346655</v>
      </c>
      <c r="BI76" s="58">
        <f>SUM(BE76:BH76)</f>
        <v>1410889</v>
      </c>
      <c r="BJ76" s="52">
        <f>'Income Statement'!BJ5-'Key Metrics'!BJ71</f>
        <v>330064</v>
      </c>
      <c r="BK76" s="52">
        <f>'Income Statement'!BK5-'Key Metrics'!BK71</f>
        <v>391113</v>
      </c>
      <c r="BL76" s="52">
        <f>'Income Statement'!BL5-'Key Metrics'!BL71</f>
        <v>364746</v>
      </c>
      <c r="BM76" s="52">
        <f>'Income Statement'!BM5-'Key Metrics'!BM71</f>
        <v>340151</v>
      </c>
      <c r="BN76" s="58">
        <f>SUM(BJ76:BM76)</f>
        <v>1426074</v>
      </c>
      <c r="BO76" s="52">
        <f>'Income Statement'!BO5-'Key Metrics'!BO71</f>
        <v>329747</v>
      </c>
      <c r="BP76" s="52">
        <f>'Income Statement'!BP5-'Key Metrics'!BP71</f>
        <v>381869</v>
      </c>
      <c r="BQ76" s="52">
        <f>'Income Statement'!BQ5-'Key Metrics'!BQ71</f>
        <v>337038</v>
      </c>
      <c r="BR76" s="52">
        <f>'Income Statement'!BR5-'Key Metrics'!BR71</f>
        <v>310327</v>
      </c>
      <c r="BS76" s="58">
        <f>SUM(BO76:BR76)</f>
        <v>1358981</v>
      </c>
      <c r="BT76" s="52">
        <f>'Income Statement'!BT5-'Key Metrics'!BT71</f>
        <v>254642</v>
      </c>
      <c r="BU76" s="52">
        <f>'Income Statement'!BU5-'Key Metrics'!BU71</f>
        <v>304411</v>
      </c>
      <c r="BV76" s="52">
        <f>'Income Statement'!BV5-'Key Metrics'!BV71</f>
        <v>314241</v>
      </c>
      <c r="BW76" s="52">
        <f>'Income Statement'!BW5-'Key Metrics'!BW71</f>
        <v>324930</v>
      </c>
      <c r="BX76" s="58">
        <f>SUM(BT76:BW76)</f>
        <v>1198224</v>
      </c>
      <c r="BY76" s="52">
        <f>'Income Statement'!BY5-'Key Metrics'!BY71</f>
        <v>328685</v>
      </c>
      <c r="BZ76" s="52">
        <f>'Income Statement'!BZ5-'Key Metrics'!BZ71</f>
        <v>348758</v>
      </c>
      <c r="CA76" s="52">
        <f>'Income Statement'!CA5-'Key Metrics'!CA71</f>
        <v>370050</v>
      </c>
      <c r="CB76" s="52">
        <f>'Income Statement'!CB5-'Key Metrics'!CB71</f>
        <v>367467</v>
      </c>
      <c r="CC76" s="58">
        <f>SUM(BY76:CB76)</f>
        <v>1414960</v>
      </c>
      <c r="CD76" s="52">
        <f>'Income Statement'!CD5-'Key Metrics'!CD71</f>
        <v>379649</v>
      </c>
      <c r="CE76" s="52">
        <f>'Income Statement'!CE5-'Key Metrics'!CE71</f>
        <v>395413</v>
      </c>
      <c r="CF76" s="52">
        <f>'Income Statement'!CF5-'Key Metrics'!CF71</f>
        <v>374986</v>
      </c>
      <c r="CG76" s="52">
        <f>'Income Statement'!CG5-'Key Metrics'!CG71</f>
        <v>358529</v>
      </c>
      <c r="CH76" s="58">
        <f>SUM(CD76:CG76)</f>
        <v>1508577</v>
      </c>
      <c r="CI76" s="52">
        <f>'Income Statement'!CI5-'Key Metrics'!CI71</f>
        <v>362485</v>
      </c>
      <c r="CJ76" s="52">
        <f>'Income Statement'!CJ5-'Key Metrics'!CJ71</f>
        <v>348745</v>
      </c>
      <c r="CK76" s="52">
        <f>'Income Statement'!CK5-'Key Metrics'!CK71</f>
        <v>307118</v>
      </c>
      <c r="CL76" s="52">
        <f>'Income Statement'!CL5-'Key Metrics'!CL71</f>
        <v>303978</v>
      </c>
      <c r="CM76" s="58">
        <f>SUM(CI76:CL76)</f>
        <v>1322326</v>
      </c>
      <c r="CN76" s="52">
        <f>'Income Statement'!CN5-'Key Metrics'!CN71</f>
        <v>259810</v>
      </c>
      <c r="CO76" s="52">
        <f>'Income Statement'!CO5-'Key Metrics'!CO71</f>
        <v>263576</v>
      </c>
      <c r="CP76" s="52"/>
      <c r="CQ76" s="52"/>
      <c r="CR76" s="58"/>
    </row>
    <row r="77" spans="1:96" s="2" customFormat="1" ht="11.15" customHeight="1" x14ac:dyDescent="0.25">
      <c r="A77" s="21" t="s">
        <v>139</v>
      </c>
      <c r="B77" s="11"/>
      <c r="C77" s="11"/>
      <c r="D77" s="11"/>
      <c r="E77" s="11"/>
      <c r="F77" s="79"/>
      <c r="G77" s="45"/>
      <c r="H77" s="45"/>
      <c r="I77" s="45"/>
      <c r="J77" s="45"/>
      <c r="K77" s="82">
        <f>K76/'Income Statement'!F5-1</f>
        <v>0.26707627858264971</v>
      </c>
      <c r="L77" s="45">
        <f>L76/'Income Statement'!G5-1</f>
        <v>0.18975881972552866</v>
      </c>
      <c r="M77" s="45">
        <f>M76/'Income Statement'!H5-1</f>
        <v>0.20572442664725155</v>
      </c>
      <c r="N77" s="45">
        <f>N76/'Income Statement'!I5-1</f>
        <v>0.25064189541801474</v>
      </c>
      <c r="O77" s="45">
        <f>O76/'Income Statement'!J5-1</f>
        <v>8.4024915103419362E-2</v>
      </c>
      <c r="P77" s="82">
        <f>P76/'Income Statement'!K5-1</f>
        <v>0.17807681911414752</v>
      </c>
      <c r="Q77" s="45">
        <f>Q76/'Income Statement'!L5-1</f>
        <v>-0.10152053861865495</v>
      </c>
      <c r="R77" s="45">
        <f>R76/'Income Statement'!M5-1</f>
        <v>-0.24304389756045286</v>
      </c>
      <c r="S77" s="45">
        <f>S76/'Income Statement'!N5-1</f>
        <v>-0.25807908146810299</v>
      </c>
      <c r="T77" s="45">
        <f>T76/'Income Statement'!O5-1</f>
        <v>-0.11514932810942713</v>
      </c>
      <c r="U77" s="82">
        <f>U76/'Income Statement'!P5-1</f>
        <v>-0.18195707974645969</v>
      </c>
      <c r="V77" s="45">
        <f>V76/'Income Statement'!Q5-1</f>
        <v>0.10121564482029588</v>
      </c>
      <c r="W77" s="45">
        <f>W76/'Income Statement'!R5-1</f>
        <v>0.72980066856506132</v>
      </c>
      <c r="X77" s="45">
        <f>X76/'Income Statement'!S5-1</f>
        <v>0.77936168354872515</v>
      </c>
      <c r="Y77" s="45">
        <f>Y76/'Income Statement'!T5-1</f>
        <v>0.88762823936787427</v>
      </c>
      <c r="Z77" s="82">
        <f>Z76/'Income Statement'!U5-1</f>
        <v>0.63456593542556505</v>
      </c>
      <c r="AA77" s="45">
        <f>AA76/'Income Statement'!V5-1</f>
        <v>0.92871650652292792</v>
      </c>
      <c r="AB77" s="45">
        <f>AB76/'Income Statement'!W5-1</f>
        <v>0.70293496684409296</v>
      </c>
      <c r="AC77" s="45">
        <f>AC76/'Income Statement'!X5-1</f>
        <v>0.52569259106115851</v>
      </c>
      <c r="AD77" s="45">
        <f>AD76/'Income Statement'!Y5-1</f>
        <v>0.21031836411348226</v>
      </c>
      <c r="AE77" s="82">
        <f>AE76/'Income Statement'!Z5-1</f>
        <v>0.52806292939824107</v>
      </c>
      <c r="AF77" s="45">
        <f>AF76/'Income Statement'!AA5-1</f>
        <v>0.24144140539026382</v>
      </c>
      <c r="AG77" s="45">
        <f>AG76/'Income Statement'!AB5-1</f>
        <v>0.1664069675895552</v>
      </c>
      <c r="AH77" s="45">
        <f>AH76/'Income Statement'!AC5-1</f>
        <v>0.27207431971734963</v>
      </c>
      <c r="AI77" s="45">
        <f>AI76/'Income Statement'!AD5-1</f>
        <v>0.18462808846863776</v>
      </c>
      <c r="AJ77" s="82">
        <f>AJ76/'Income Statement'!AE5-1</f>
        <v>0.21570049021880711</v>
      </c>
      <c r="AK77" s="45">
        <f>AK76/'Income Statement'!AF5-1</f>
        <v>0.16445873108643427</v>
      </c>
      <c r="AL77" s="45">
        <f>AL76/'Income Statement'!AG5-1</f>
        <v>0.22000043501272404</v>
      </c>
      <c r="AM77" s="45">
        <f>AM76/'Income Statement'!AH5-1</f>
        <v>0.10086392674208167</v>
      </c>
      <c r="AN77" s="45">
        <f>AN76/'Income Statement'!AI5-1</f>
        <v>0.15051368682341582</v>
      </c>
      <c r="AO77" s="82">
        <f>AO76/'Income Statement'!AJ5-1</f>
        <v>0.15680286136867849</v>
      </c>
      <c r="AP77" s="45">
        <f>AP76/'Income Statement'!AK5-1</f>
        <v>0.19825592871443476</v>
      </c>
      <c r="AQ77" s="45">
        <f>AQ76/'Income Statement'!AL5-1</f>
        <v>0.12685302459996084</v>
      </c>
      <c r="AR77" s="45">
        <f>AR76/'Income Statement'!AM5-1</f>
        <v>0.16438380036247047</v>
      </c>
      <c r="AS77" s="45">
        <f>AS76/'Income Statement'!AN5-1</f>
        <v>0.31438149271369054</v>
      </c>
      <c r="AT77" s="82">
        <f>AT76/'Income Statement'!AO5-1</f>
        <v>0.20044935913856365</v>
      </c>
      <c r="AU77" s="45">
        <f>AU76/'Income Statement'!AP5-1</f>
        <v>0.29303825296790276</v>
      </c>
      <c r="AV77" s="45">
        <f>AV76/'Income Statement'!AQ5-1</f>
        <v>0.32587251045763876</v>
      </c>
      <c r="AW77" s="45">
        <f>AW76/'Income Statement'!AR5-1</f>
        <v>0.32301365883466659</v>
      </c>
      <c r="AX77" s="45">
        <f>AX76/'Income Statement'!AS5-1</f>
        <v>0.15054821072120816</v>
      </c>
      <c r="AY77" s="82">
        <f>AY76/'Income Statement'!AT5-1</f>
        <v>0.27062138232757271</v>
      </c>
      <c r="AZ77" s="45">
        <f>AZ76/'Income Statement'!AU5-1</f>
        <v>6.8797748291113736E-2</v>
      </c>
      <c r="BA77" s="45">
        <f>BA76/'Income Statement'!AV5-1</f>
        <v>8.8667080607983451E-2</v>
      </c>
      <c r="BB77" s="45">
        <f>BB76/'Income Statement'!AW5-1</f>
        <v>0.10050053173798257</v>
      </c>
      <c r="BC77" s="45">
        <f>BC76/'Income Statement'!AX5-1</f>
        <v>0.27722626170481068</v>
      </c>
      <c r="BD77" s="82">
        <f>BD76/'Income Statement'!AY5-1</f>
        <v>0.13426461695505765</v>
      </c>
      <c r="BE77" s="45">
        <f>BE76/'Income Statement'!AZ5-1</f>
        <v>0.4260499498185748</v>
      </c>
      <c r="BF77" s="45">
        <f>BF76/'Income Statement'!BA5-1</f>
        <v>0.50629977016223138</v>
      </c>
      <c r="BG77" s="45">
        <f>BG76/'Income Statement'!BB5-1</f>
        <v>0.45823387227132106</v>
      </c>
      <c r="BH77" s="45">
        <f>BH76/'Income Statement'!BC5-1</f>
        <v>0.23751878652439484</v>
      </c>
      <c r="BI77" s="82">
        <f>BI76/'Income Statement'!BD5-1</f>
        <v>0.40223301559473379</v>
      </c>
      <c r="BJ77" s="45">
        <f>BJ76/'Income Statement'!BE5-1</f>
        <v>0.15469168713223214</v>
      </c>
      <c r="BK77" s="45">
        <f>BK76/'Income Statement'!BF5-1</f>
        <v>5.8856494654454972E-2</v>
      </c>
      <c r="BL77" s="45">
        <f>BL76/'Income Statement'!BG5-1</f>
        <v>-7.0983024082116097E-2</v>
      </c>
      <c r="BM77" s="45">
        <f>BM76/'Income Statement'!BH5-1</f>
        <v>-5.7896996302502335E-2</v>
      </c>
      <c r="BN77" s="82">
        <f>BN76/'Income Statement'!BI5-1</f>
        <v>1.2197554243094988E-2</v>
      </c>
      <c r="BO77" s="45">
        <f>BO76/'Income Statement'!BJ5-1</f>
        <v>-8.3689949536491559E-2</v>
      </c>
      <c r="BP77" s="45">
        <f>BP76/'Income Statement'!BK5-1</f>
        <v>-7.6748071264684636E-2</v>
      </c>
      <c r="BQ77" s="45">
        <f>BQ76/'Income Statement'!BL5-1</f>
        <v>-5.4183293765048601E-2</v>
      </c>
      <c r="BR77" s="45">
        <f>BR76/'Income Statement'!BM5-1</f>
        <v>-5.9760461262047371E-2</v>
      </c>
      <c r="BS77" s="82">
        <f>BS76/'Income Statement'!BN5-1</f>
        <v>-6.9110758873710987E-2</v>
      </c>
      <c r="BT77" s="45">
        <f>BT76/'Income Statement'!BO5-1</f>
        <v>-0.19173329693664753</v>
      </c>
      <c r="BU77" s="45">
        <f>BU76/'Income Statement'!BP5-1</f>
        <v>-0.16317498192534274</v>
      </c>
      <c r="BV77" s="45">
        <f>BV76/'Income Statement'!BQ5-1</f>
        <v>-4.526065054779449E-2</v>
      </c>
      <c r="BW77" s="45">
        <f>BW76/'Income Statement'!BR5-1</f>
        <v>5.9691416607148051E-2</v>
      </c>
      <c r="BX77" s="82">
        <f>BX76/'Income Statement'!BS5-1</f>
        <v>-8.8512613524765693E-2</v>
      </c>
      <c r="BY77" s="45">
        <f>BY76/'Income Statement'!BT5-1</f>
        <v>0.31873841487389765</v>
      </c>
      <c r="BZ77" s="45">
        <f>BZ76/'Income Statement'!BU5-1</f>
        <v>0.17660275765744182</v>
      </c>
      <c r="CA77" s="45">
        <f>CA76/'Income Statement'!BV5-1</f>
        <v>0.16206769856896575</v>
      </c>
      <c r="CB77" s="45">
        <f>CB76/'Income Statement'!BW5-1</f>
        <v>9.1605026289991898E-2</v>
      </c>
      <c r="CC77" s="82">
        <f>CC76/'Income Statement'!BX5-1</f>
        <v>0.1784223518477186</v>
      </c>
      <c r="CD77" s="45">
        <f>CD76/'Income Statement'!BY5-1</f>
        <v>9.8569092987253581E-2</v>
      </c>
      <c r="CE77" s="45">
        <f>CE76/'Income Statement'!BZ5-1</f>
        <v>6.3916288630945672E-2</v>
      </c>
      <c r="CF77" s="45">
        <f>CF76/'Income Statement'!CA5-1</f>
        <v>-1.0982460767506308E-2</v>
      </c>
      <c r="CG77" s="45">
        <f>CG76/'Income Statement'!CB5-1</f>
        <v>-1.6292284349474717E-2</v>
      </c>
      <c r="CH77" s="82">
        <f>CH76/'Income Statement'!CC5-1</f>
        <v>3.2663636488096115E-2</v>
      </c>
      <c r="CI77" s="45">
        <f>CI76/'Income Statement'!CD5-1</f>
        <v>-2.0255203673722022E-2</v>
      </c>
      <c r="CJ77" s="45">
        <f>CJ76/'Income Statement'!CE5-1</f>
        <v>-7.5003381756550636E-2</v>
      </c>
      <c r="CK77" s="45">
        <f>CK76/'Income Statement'!CF5-1</f>
        <v>-0.12002085924024231</v>
      </c>
      <c r="CL77" s="45">
        <f>CL76/'Income Statement'!CG5-1</f>
        <v>-8.8628316328825063E-2</v>
      </c>
      <c r="CM77" s="82">
        <f>CM76/'Income Statement'!CH5-1</f>
        <v>-7.5003480123423727E-2</v>
      </c>
      <c r="CN77" s="45">
        <f>CN76/'Income Statement'!CI5-1</f>
        <v>-0.25164326821709004</v>
      </c>
      <c r="CO77" s="45">
        <f>CO76/'Income Statement'!CJ5-1</f>
        <v>-0.22471034294101555</v>
      </c>
      <c r="CP77" s="45"/>
      <c r="CQ77" s="45"/>
      <c r="CR77" s="82"/>
    </row>
    <row r="78" spans="1:96" s="2" customFormat="1" ht="11.15" customHeight="1" x14ac:dyDescent="0.25">
      <c r="A78" s="7" t="s">
        <v>136</v>
      </c>
      <c r="B78" s="11"/>
      <c r="C78" s="11"/>
      <c r="D78" s="11"/>
      <c r="E78" s="11"/>
      <c r="F78" s="79"/>
      <c r="G78" s="11"/>
      <c r="H78" s="11"/>
      <c r="I78" s="11"/>
      <c r="J78" s="11"/>
      <c r="K78" s="79"/>
      <c r="L78" s="53"/>
      <c r="M78" s="53"/>
      <c r="N78" s="53"/>
      <c r="O78" s="53"/>
      <c r="P78" s="61"/>
      <c r="Q78" s="53">
        <f>'Income Statement'!Q7-'Key Metrics'!Q72</f>
        <v>16361</v>
      </c>
      <c r="R78" s="53">
        <f>'Income Statement'!R7-'Key Metrics'!R72</f>
        <v>13172</v>
      </c>
      <c r="S78" s="53">
        <f>'Income Statement'!S7-'Key Metrics'!S72</f>
        <v>17323</v>
      </c>
      <c r="T78" s="53">
        <f>'Income Statement'!T7-'Key Metrics'!T72</f>
        <v>19512</v>
      </c>
      <c r="U78" s="61">
        <f>SUM(Q78:T78)</f>
        <v>66368</v>
      </c>
      <c r="V78" s="53">
        <f>'Income Statement'!V7-'Key Metrics'!V72</f>
        <v>20147</v>
      </c>
      <c r="W78" s="53">
        <f>'Income Statement'!W7-'Key Metrics'!W72</f>
        <v>31861</v>
      </c>
      <c r="X78" s="53">
        <f>'Income Statement'!X7-'Key Metrics'!X72</f>
        <v>40131</v>
      </c>
      <c r="Y78" s="53">
        <f>'Income Statement'!Y7-'Key Metrics'!Y72</f>
        <v>55519</v>
      </c>
      <c r="Z78" s="61">
        <f>SUM(V78:Y78)</f>
        <v>147658</v>
      </c>
      <c r="AA78" s="53">
        <f>'Income Statement'!AA7-'Key Metrics'!AA72</f>
        <v>53766</v>
      </c>
      <c r="AB78" s="53">
        <f>'Income Statement'!AB7-'Key Metrics'!AB72</f>
        <v>63106</v>
      </c>
      <c r="AC78" s="53">
        <f>'Income Statement'!AC7-'Key Metrics'!AC72</f>
        <v>67059</v>
      </c>
      <c r="AD78" s="53">
        <f>'Income Statement'!AD7-'Key Metrics'!AD72</f>
        <v>66224</v>
      </c>
      <c r="AE78" s="61">
        <f>SUM(AA78:AD78)</f>
        <v>250155</v>
      </c>
      <c r="AF78" s="53">
        <f>'Income Statement'!AF7-'Key Metrics'!AF72</f>
        <v>69184</v>
      </c>
      <c r="AG78" s="53">
        <f>'Income Statement'!AG7-'Key Metrics'!AG72</f>
        <v>77210</v>
      </c>
      <c r="AH78" s="53">
        <f>'Income Statement'!AH7-'Key Metrics'!AH72</f>
        <v>90959</v>
      </c>
      <c r="AI78" s="53">
        <f>'Income Statement'!AI7-'Key Metrics'!AI72</f>
        <v>75974</v>
      </c>
      <c r="AJ78" s="61">
        <f>SUM(AF78:AI78)</f>
        <v>313327</v>
      </c>
      <c r="AK78" s="53">
        <f>'Income Statement'!AK7-'Key Metrics'!AK72</f>
        <v>76641</v>
      </c>
      <c r="AL78" s="53">
        <f>'Income Statement'!AL7-'Key Metrics'!AL72</f>
        <v>89922</v>
      </c>
      <c r="AM78" s="53">
        <f>'Income Statement'!AM7-'Key Metrics'!AM72</f>
        <v>92813</v>
      </c>
      <c r="AN78" s="53">
        <f>'Income Statement'!AN7-'Key Metrics'!AN72</f>
        <v>82022</v>
      </c>
      <c r="AO78" s="61">
        <f>SUM(AK78:AN78)</f>
        <v>341398</v>
      </c>
      <c r="AP78" s="53">
        <f>'Income Statement'!AP7-'Key Metrics'!AP72</f>
        <v>88384</v>
      </c>
      <c r="AQ78" s="53">
        <f>'Income Statement'!AQ7-'Key Metrics'!AQ72</f>
        <v>103827</v>
      </c>
      <c r="AR78" s="53">
        <f>'Income Statement'!AR7-'Key Metrics'!AR72</f>
        <v>109690</v>
      </c>
      <c r="AS78" s="53">
        <f>'Income Statement'!AS7-'Key Metrics'!AS72</f>
        <v>119517</v>
      </c>
      <c r="AT78" s="61">
        <f>SUM(AP78:AS78)</f>
        <v>421418</v>
      </c>
      <c r="AU78" s="53">
        <f>'Income Statement'!AU7-'Key Metrics'!AU72</f>
        <v>118727</v>
      </c>
      <c r="AV78" s="53">
        <f>'Income Statement'!AV7-'Key Metrics'!AV72</f>
        <v>138603</v>
      </c>
      <c r="AW78" s="53">
        <f>'Income Statement'!AW7-'Key Metrics'!AW72</f>
        <v>142804</v>
      </c>
      <c r="AX78" s="53">
        <f>'Income Statement'!AX7-'Key Metrics'!AX72</f>
        <v>129643</v>
      </c>
      <c r="AY78" s="61">
        <f>SUM(AU78:AX78)</f>
        <v>529777</v>
      </c>
      <c r="AZ78" s="53">
        <f>'Income Statement'!AZ7-'Key Metrics'!AZ72</f>
        <v>117210</v>
      </c>
      <c r="BA78" s="53">
        <f>'Income Statement'!BA7-'Key Metrics'!BA72</f>
        <v>138804</v>
      </c>
      <c r="BB78" s="53">
        <f>'Income Statement'!BB7-'Key Metrics'!BB72</f>
        <v>145891</v>
      </c>
      <c r="BC78" s="53">
        <f>'Income Statement'!BC7-'Key Metrics'!BC72</f>
        <v>158936</v>
      </c>
      <c r="BD78" s="61">
        <f>SUM(AZ78:BC78)</f>
        <v>560841</v>
      </c>
      <c r="BE78" s="53">
        <f>'Income Statement'!BE7-'Key Metrics'!BE72</f>
        <v>164467</v>
      </c>
      <c r="BF78" s="53">
        <f>'Income Statement'!BF7-'Key Metrics'!BF72</f>
        <v>214196</v>
      </c>
      <c r="BG78" s="53">
        <f>'Income Statement'!BG7-'Key Metrics'!BG72</f>
        <v>222055</v>
      </c>
      <c r="BH78" s="53">
        <f>'Income Statement'!BH7-'Key Metrics'!BH72</f>
        <v>200093</v>
      </c>
      <c r="BI78" s="61">
        <f>SUM(BE78:BH78)</f>
        <v>800811</v>
      </c>
      <c r="BJ78" s="53">
        <f>'Income Statement'!BJ7-'Key Metrics'!BJ72</f>
        <v>184762</v>
      </c>
      <c r="BK78" s="53">
        <f>'Income Statement'!BK7-'Key Metrics'!BK72</f>
        <v>220075</v>
      </c>
      <c r="BL78" s="53">
        <f>'Income Statement'!BL7-'Key Metrics'!BL72</f>
        <v>199384</v>
      </c>
      <c r="BM78" s="53">
        <f>'Income Statement'!BM7-'Key Metrics'!BM72</f>
        <v>172348</v>
      </c>
      <c r="BN78" s="61">
        <f>SUM(BJ78:BM78)</f>
        <v>776569</v>
      </c>
      <c r="BO78" s="53">
        <f>'Income Statement'!BO7-'Key Metrics'!BO72</f>
        <v>156711</v>
      </c>
      <c r="BP78" s="53">
        <f>'Income Statement'!BP7-'Key Metrics'!BP72</f>
        <v>190637</v>
      </c>
      <c r="BQ78" s="53">
        <f>'Income Statement'!BQ7-'Key Metrics'!BQ72</f>
        <v>157058</v>
      </c>
      <c r="BR78" s="53">
        <f>'Income Statement'!BR7-'Key Metrics'!BR72</f>
        <v>126003</v>
      </c>
      <c r="BS78" s="61">
        <f>SUM(BO78:BR78)</f>
        <v>630409</v>
      </c>
      <c r="BT78" s="53">
        <f>'Income Statement'!BT7-'Key Metrics'!BT72</f>
        <v>105476</v>
      </c>
      <c r="BU78" s="53">
        <f>'Income Statement'!BU7-'Key Metrics'!BU72</f>
        <v>140549</v>
      </c>
      <c r="BV78" s="53">
        <f>'Income Statement'!BV7-'Key Metrics'!BV72</f>
        <v>149892</v>
      </c>
      <c r="BW78" s="53">
        <f>'Income Statement'!BW7-'Key Metrics'!BW72</f>
        <v>139379</v>
      </c>
      <c r="BX78" s="61">
        <f>SUM(BT78:BW78)</f>
        <v>535296</v>
      </c>
      <c r="BY78" s="53">
        <f>'Income Statement'!BY7-'Key Metrics'!BY72</f>
        <v>153991</v>
      </c>
      <c r="BZ78" s="53">
        <f>'Income Statement'!BZ7-'Key Metrics'!BZ72</f>
        <v>167728</v>
      </c>
      <c r="CA78" s="53">
        <f>'Income Statement'!CA7-'Key Metrics'!CA72</f>
        <v>180274</v>
      </c>
      <c r="CB78" s="53">
        <f>'Income Statement'!CB7-'Key Metrics'!CB72</f>
        <v>167405</v>
      </c>
      <c r="CC78" s="61">
        <f>SUM(BY78:CB78)</f>
        <v>669398</v>
      </c>
      <c r="CD78" s="53">
        <f>'Income Statement'!CD7-'Key Metrics'!CD72</f>
        <v>176181</v>
      </c>
      <c r="CE78" s="53">
        <f>'Income Statement'!CE7-'Key Metrics'!CE72</f>
        <v>182424</v>
      </c>
      <c r="CF78" s="53">
        <f>'Income Statement'!CF7-'Key Metrics'!CF72</f>
        <v>164144</v>
      </c>
      <c r="CG78" s="53">
        <f>'Income Statement'!CG7-'Key Metrics'!CG72</f>
        <v>77064</v>
      </c>
      <c r="CH78" s="61">
        <f>'Income Statement'!CH7-'Key Metrics'!CH72</f>
        <v>601893</v>
      </c>
      <c r="CI78" s="53">
        <f>'Income Statement'!CI7-'Key Metrics'!CI72</f>
        <v>155157</v>
      </c>
      <c r="CJ78" s="53">
        <f>'Income Statement'!CJ7-'Key Metrics'!CJ72</f>
        <v>152628</v>
      </c>
      <c r="CK78" s="53">
        <f>'Income Statement'!CK7-'Key Metrics'!CK72</f>
        <v>137262</v>
      </c>
      <c r="CL78" s="53">
        <f>'Income Statement'!CL7-'Key Metrics'!CL72</f>
        <v>117798</v>
      </c>
      <c r="CM78" s="61">
        <f>'Income Statement'!CM7-'Key Metrics'!CM72</f>
        <v>562938</v>
      </c>
      <c r="CN78" s="53">
        <f>'Income Statement'!CN7-'Key Metrics'!CN72</f>
        <v>102231</v>
      </c>
      <c r="CO78" s="53">
        <f>'Income Statement'!CO7-'Key Metrics'!CO72</f>
        <v>99020</v>
      </c>
      <c r="CP78" s="53"/>
      <c r="CQ78" s="53"/>
      <c r="CR78" s="61"/>
    </row>
    <row r="79" spans="1:96" s="2" customFormat="1" ht="11.15" customHeight="1" x14ac:dyDescent="0.25">
      <c r="A79" s="21" t="s">
        <v>15</v>
      </c>
      <c r="B79" s="11"/>
      <c r="C79" s="11"/>
      <c r="D79" s="11"/>
      <c r="E79" s="11"/>
      <c r="F79" s="79"/>
      <c r="G79" s="11"/>
      <c r="H79" s="11"/>
      <c r="I79" s="11"/>
      <c r="J79" s="11"/>
      <c r="K79" s="79"/>
      <c r="L79" s="18"/>
      <c r="M79" s="18"/>
      <c r="N79" s="18"/>
      <c r="O79" s="18"/>
      <c r="P79" s="67"/>
      <c r="Q79" s="18">
        <f t="shared" ref="Q79" si="307">Q78/Q76</f>
        <v>0.34438410372989814</v>
      </c>
      <c r="R79" s="18">
        <f t="shared" ref="R79" si="308">R78/R76</f>
        <v>0.31077031968856905</v>
      </c>
      <c r="S79" s="18">
        <f t="shared" ref="S79" si="309">S78/S76</f>
        <v>0.37652147452616935</v>
      </c>
      <c r="T79" s="18">
        <f t="shared" ref="T79" si="310">T78/T76</f>
        <v>0.37892529081622744</v>
      </c>
      <c r="U79" s="67">
        <f t="shared" ref="U79" si="311">U78/U76</f>
        <v>0.3541628867519771</v>
      </c>
      <c r="V79" s="18">
        <f t="shared" ref="V79" si="312">V78/V76</f>
        <v>0.40290776737860973</v>
      </c>
      <c r="W79" s="18">
        <f t="shared" ref="W79" si="313">W78/W76</f>
        <v>0.45608233845801482</v>
      </c>
      <c r="X79" s="18">
        <f t="shared" ref="X79" si="314">X78/X76</f>
        <v>0.49235053797740125</v>
      </c>
      <c r="Y79" s="18">
        <f t="shared" ref="Y79" si="315">Y78/Y76</f>
        <v>0.54172805776455091</v>
      </c>
      <c r="Z79" s="67">
        <f t="shared" ref="Z79" si="316">Z78/Z76</f>
        <v>0.4859472908219683</v>
      </c>
      <c r="AA79" s="18">
        <f t="shared" ref="AA79:BF79" si="317">AA78/AA76</f>
        <v>0.54442171773425951</v>
      </c>
      <c r="AB79" s="18">
        <f t="shared" si="317"/>
        <v>0.55097087378640774</v>
      </c>
      <c r="AC79" s="18">
        <f t="shared" si="317"/>
        <v>0.5507292795900266</v>
      </c>
      <c r="AD79" s="18">
        <f t="shared" si="317"/>
        <v>0.54182484618405546</v>
      </c>
      <c r="AE79" s="67">
        <f t="shared" si="317"/>
        <v>0.54704755490047718</v>
      </c>
      <c r="AF79" s="18">
        <f t="shared" si="317"/>
        <v>0.55752183863585081</v>
      </c>
      <c r="AG79" s="18">
        <f t="shared" si="317"/>
        <v>0.54286457564316204</v>
      </c>
      <c r="AH79" s="18">
        <f t="shared" si="317"/>
        <v>0.55402335256031532</v>
      </c>
      <c r="AI79" s="18">
        <f t="shared" si="317"/>
        <v>0.519196337046402</v>
      </c>
      <c r="AJ79" s="67">
        <f t="shared" si="317"/>
        <v>0.54318965098781613</v>
      </c>
      <c r="AK79" s="18">
        <f t="shared" si="317"/>
        <v>0.53426233165100523</v>
      </c>
      <c r="AL79" s="18">
        <f t="shared" si="317"/>
        <v>0.53438798129208243</v>
      </c>
      <c r="AM79" s="18">
        <f t="shared" si="317"/>
        <v>0.53913402109763464</v>
      </c>
      <c r="AN79" s="18">
        <f t="shared" si="317"/>
        <v>0.49156473429662167</v>
      </c>
      <c r="AO79" s="67">
        <f t="shared" si="317"/>
        <v>0.52463525803169964</v>
      </c>
      <c r="AP79" s="18">
        <f t="shared" si="317"/>
        <v>0.51998235034563911</v>
      </c>
      <c r="AQ79" s="18">
        <f t="shared" si="317"/>
        <v>0.54788817122593714</v>
      </c>
      <c r="AR79" s="18">
        <f t="shared" si="317"/>
        <v>0.54721602785718204</v>
      </c>
      <c r="AS79" s="18">
        <f t="shared" si="317"/>
        <v>0.54823808955881137</v>
      </c>
      <c r="AT79" s="67">
        <f t="shared" si="317"/>
        <v>0.54171572836700377</v>
      </c>
      <c r="AU79" s="18">
        <f t="shared" si="317"/>
        <v>0.53829796880667391</v>
      </c>
      <c r="AV79" s="18">
        <f t="shared" si="317"/>
        <v>0.54388670449462007</v>
      </c>
      <c r="AW79" s="18">
        <f t="shared" si="317"/>
        <v>0.54063549392180688</v>
      </c>
      <c r="AX79" s="18">
        <f t="shared" si="317"/>
        <v>0.54328949904872059</v>
      </c>
      <c r="AY79" s="67">
        <f t="shared" si="317"/>
        <v>0.54160289930635419</v>
      </c>
      <c r="AZ79" s="18">
        <f t="shared" si="317"/>
        <v>0.55119258116699898</v>
      </c>
      <c r="BA79" s="18">
        <f t="shared" si="317"/>
        <v>0.54223066015071075</v>
      </c>
      <c r="BB79" s="18">
        <f t="shared" si="317"/>
        <v>0.54433487428036287</v>
      </c>
      <c r="BC79" s="18">
        <f t="shared" si="317"/>
        <v>0.5564576834336411</v>
      </c>
      <c r="BD79" s="67">
        <f t="shared" si="317"/>
        <v>0.54862155216854991</v>
      </c>
      <c r="BE79" s="18">
        <f t="shared" si="317"/>
        <v>0.5564852848625933</v>
      </c>
      <c r="BF79" s="18">
        <f t="shared" si="317"/>
        <v>0.56252938102228889</v>
      </c>
      <c r="BG79" s="18">
        <f t="shared" ref="BG79:BK79" si="318">BG78/BG76</f>
        <v>0.57243210497144992</v>
      </c>
      <c r="BH79" s="18">
        <f t="shared" si="318"/>
        <v>0.57721077151634914</v>
      </c>
      <c r="BI79" s="67">
        <f t="shared" si="318"/>
        <v>0.56759319833098143</v>
      </c>
      <c r="BJ79" s="18">
        <f t="shared" si="318"/>
        <v>0.55977628581123662</v>
      </c>
      <c r="BK79" s="18">
        <f t="shared" si="318"/>
        <v>0.56268904383132246</v>
      </c>
      <c r="BL79" s="18">
        <f t="shared" ref="BL79:BP79" si="319">BL78/BL76</f>
        <v>0.54663793434335128</v>
      </c>
      <c r="BM79" s="18">
        <f t="shared" si="319"/>
        <v>0.50668085644316785</v>
      </c>
      <c r="BN79" s="67">
        <f t="shared" si="319"/>
        <v>0.54455028280439866</v>
      </c>
      <c r="BO79" s="18">
        <f t="shared" si="319"/>
        <v>0.47524617358156407</v>
      </c>
      <c r="BP79" s="18">
        <f t="shared" si="319"/>
        <v>0.49922093702290576</v>
      </c>
      <c r="BQ79" s="18">
        <f t="shared" ref="BQ79:BS79" si="320">BQ78/BQ76</f>
        <v>0.46599493232217137</v>
      </c>
      <c r="BR79" s="18">
        <f t="shared" si="320"/>
        <v>0.40603299100626111</v>
      </c>
      <c r="BS79" s="67">
        <f t="shared" si="320"/>
        <v>0.46388360102164783</v>
      </c>
      <c r="BT79" s="18">
        <f>BT78/BT76</f>
        <v>0.41421289496626634</v>
      </c>
      <c r="BU79" s="18">
        <f t="shared" ref="BU79:BV79" si="321">BU78/BU76</f>
        <v>0.46170801974961484</v>
      </c>
      <c r="BV79" s="18">
        <f t="shared" si="321"/>
        <v>0.47699695456671792</v>
      </c>
      <c r="BW79" s="18">
        <f>BW78/BW76</f>
        <v>0.42895085095251284</v>
      </c>
      <c r="BX79" s="67">
        <f t="shared" ref="BX79" si="322">BX78/BX76</f>
        <v>0.44674117694187399</v>
      </c>
      <c r="BY79" s="18">
        <f>BY78/BY76</f>
        <v>0.46850632064134351</v>
      </c>
      <c r="BZ79" s="18">
        <f>BZ78/BZ76</f>
        <v>0.48092946971825734</v>
      </c>
      <c r="CA79" s="18">
        <f>CA78/CA76</f>
        <v>0.48716119443318473</v>
      </c>
      <c r="CB79" s="18">
        <f>CB78/CB76</f>
        <v>0.45556471737598209</v>
      </c>
      <c r="CC79" s="67">
        <f t="shared" ref="CC79" si="323">CC78/CC76</f>
        <v>0.47308616497992878</v>
      </c>
      <c r="CD79" s="18">
        <f t="shared" ref="CD79:CH79" si="324">CD78/CD76</f>
        <v>0.46406285806099845</v>
      </c>
      <c r="CE79" s="18">
        <f t="shared" si="324"/>
        <v>0.46135053728633102</v>
      </c>
      <c r="CF79" s="18">
        <f t="shared" si="324"/>
        <v>0.43773367539054792</v>
      </c>
      <c r="CG79" s="18">
        <f t="shared" si="324"/>
        <v>0.21494495563817712</v>
      </c>
      <c r="CH79" s="67">
        <f t="shared" si="324"/>
        <v>0.39898062876472329</v>
      </c>
      <c r="CI79" s="18">
        <f>CI78/CI76</f>
        <v>0.42803702222160916</v>
      </c>
      <c r="CJ79" s="18">
        <f>CJ78/CJ76</f>
        <v>0.43764928529441283</v>
      </c>
      <c r="CK79" s="18">
        <f>CK78/CK76</f>
        <v>0.44693570549430511</v>
      </c>
      <c r="CL79" s="18">
        <f>CL78/CL76</f>
        <v>0.38752146536920434</v>
      </c>
      <c r="CM79" s="67">
        <f t="shared" ref="CM79" si="325">CM78/CM76</f>
        <v>0.42571801507343876</v>
      </c>
      <c r="CN79" s="18">
        <f>CN78/CN76</f>
        <v>0.39348369962665025</v>
      </c>
      <c r="CO79" s="18">
        <f>CO78/CO76</f>
        <v>0.37567912101253531</v>
      </c>
      <c r="CP79" s="18"/>
      <c r="CQ79" s="18"/>
      <c r="CR79" s="67"/>
    </row>
    <row r="80" spans="1:96" s="2" customFormat="1" ht="11.15" customHeight="1" x14ac:dyDescent="0.25">
      <c r="A80" s="7" t="s">
        <v>140</v>
      </c>
      <c r="B80" s="11"/>
      <c r="C80" s="11"/>
      <c r="D80" s="11"/>
      <c r="E80" s="11"/>
      <c r="F80" s="79"/>
      <c r="G80" s="11"/>
      <c r="H80" s="11"/>
      <c r="I80" s="11"/>
      <c r="J80" s="11"/>
      <c r="K80" s="79"/>
      <c r="L80" s="53"/>
      <c r="M80" s="53"/>
      <c r="N80" s="53"/>
      <c r="O80" s="53"/>
      <c r="P80" s="61"/>
      <c r="Q80" s="53">
        <f>Q78-('Income Statement'!Q18-'Key Metrics'!Q73)</f>
        <v>1525</v>
      </c>
      <c r="R80" s="53">
        <f>R78-('Income Statement'!R18-'Key Metrics'!R73)</f>
        <v>-186</v>
      </c>
      <c r="S80" s="53">
        <f>S78-('Income Statement'!S18-'Key Metrics'!S73)</f>
        <v>4048</v>
      </c>
      <c r="T80" s="53">
        <f>T78-('Income Statement'!T18-'Key Metrics'!T73)</f>
        <v>4870</v>
      </c>
      <c r="U80" s="61">
        <f>SUM(Q80:T80)</f>
        <v>10257</v>
      </c>
      <c r="V80" s="53">
        <f>V78-('Income Statement'!V18-'Key Metrics'!V73)</f>
        <v>5431</v>
      </c>
      <c r="W80" s="53">
        <f>W78-('Income Statement'!W18-'Key Metrics'!W73)</f>
        <v>17011</v>
      </c>
      <c r="X80" s="53">
        <f>X78-('Income Statement'!X18-'Key Metrics'!X73)</f>
        <v>20445</v>
      </c>
      <c r="Y80" s="53">
        <f>Y78-('Income Statement'!Y18-'Key Metrics'!Y73)</f>
        <v>38314</v>
      </c>
      <c r="Z80" s="61">
        <f>SUM(V80:Y80)</f>
        <v>81201</v>
      </c>
      <c r="AA80" s="53">
        <f>AA78-('Income Statement'!AA18-'Key Metrics'!AA73)</f>
        <v>34298</v>
      </c>
      <c r="AB80" s="53">
        <f>AB78-('Income Statement'!AB18-'Key Metrics'!AB73)</f>
        <v>43522</v>
      </c>
      <c r="AC80" s="53">
        <f>AC78-('Income Statement'!AC18-'Key Metrics'!AC73)</f>
        <v>46732</v>
      </c>
      <c r="AD80" s="53">
        <f>AD78-('Income Statement'!AD18-'Key Metrics'!AD73)</f>
        <v>45970</v>
      </c>
      <c r="AE80" s="61">
        <f>SUM(AA80:AD80)</f>
        <v>170522</v>
      </c>
      <c r="AF80" s="53">
        <f>AF78-('Income Statement'!AF18-'Key Metrics'!AF73)</f>
        <v>45477</v>
      </c>
      <c r="AG80" s="53">
        <f>AG78-('Income Statement'!AG18-'Key Metrics'!AG73)</f>
        <v>58045</v>
      </c>
      <c r="AH80" s="53">
        <f>AH78-('Income Statement'!AH18-'Key Metrics'!AH73)</f>
        <v>63807</v>
      </c>
      <c r="AI80" s="53">
        <f>AI78-('Income Statement'!AI18-'Key Metrics'!AI73)</f>
        <v>48059</v>
      </c>
      <c r="AJ80" s="61">
        <f>SUM(AF80:AI80)</f>
        <v>215388</v>
      </c>
      <c r="AK80" s="53">
        <f>AK78-('Income Statement'!AK18-'Key Metrics'!AK73)</f>
        <v>50546</v>
      </c>
      <c r="AL80" s="53">
        <f>AL78-('Income Statement'!AL18-'Key Metrics'!AL73)</f>
        <v>59675</v>
      </c>
      <c r="AM80" s="53">
        <f>AM78-('Income Statement'!AM18-'Key Metrics'!AM73)</f>
        <v>59873</v>
      </c>
      <c r="AN80" s="53">
        <f>AN78-('Income Statement'!AN18-'Key Metrics'!AN73)</f>
        <v>49453</v>
      </c>
      <c r="AO80" s="61">
        <f>SUM(AK80:AN80)</f>
        <v>219547</v>
      </c>
      <c r="AP80" s="53">
        <f>AP78-('Income Statement'!AP18-'Key Metrics'!AP73)</f>
        <v>56289</v>
      </c>
      <c r="AQ80" s="53">
        <f>AQ78-('Income Statement'!AQ18-'Key Metrics'!AQ73)</f>
        <v>68149</v>
      </c>
      <c r="AR80" s="53">
        <f>AR78-('Income Statement'!AR18-'Key Metrics'!AR73)</f>
        <v>77689</v>
      </c>
      <c r="AS80" s="53">
        <f>AS78-('Income Statement'!AS18-'Key Metrics'!AS73)</f>
        <v>82831</v>
      </c>
      <c r="AT80" s="61">
        <f>SUM(AP80:AS80)</f>
        <v>284958</v>
      </c>
      <c r="AU80" s="53">
        <f>AU78-('Income Statement'!AU18-'Key Metrics'!AU73)</f>
        <v>88822</v>
      </c>
      <c r="AV80" s="53">
        <f>AV78-('Income Statement'!AV18-'Key Metrics'!AV73)</f>
        <v>93343</v>
      </c>
      <c r="AW80" s="53">
        <f>AW78-('Income Statement'!AW18-'Key Metrics'!AW73)</f>
        <v>94962</v>
      </c>
      <c r="AX80" s="53">
        <f>AX78-('Income Statement'!AX18-'Key Metrics'!AX73)</f>
        <v>87916</v>
      </c>
      <c r="AY80" s="61">
        <f>SUM(AU80:AX80)</f>
        <v>365043</v>
      </c>
      <c r="AZ80" s="53">
        <f>AZ78-('Income Statement'!AZ18-'Key Metrics'!AZ73)</f>
        <v>71719</v>
      </c>
      <c r="BA80" s="53">
        <f>BA78-('Income Statement'!BA18-'Key Metrics'!BA73)</f>
        <v>95108</v>
      </c>
      <c r="BB80" s="53">
        <f>BB78-('Income Statement'!BB18-'Key Metrics'!BB73)</f>
        <v>95086</v>
      </c>
      <c r="BC80" s="53">
        <f>BC78-('Income Statement'!BC18-'Key Metrics'!BC73)</f>
        <v>108801</v>
      </c>
      <c r="BD80" s="61">
        <f>SUM(AZ80:BC80)</f>
        <v>370714</v>
      </c>
      <c r="BE80" s="53">
        <f>BE78-('Income Statement'!BE18-'Key Metrics'!BE73)</f>
        <v>109481</v>
      </c>
      <c r="BF80" s="53">
        <f>BF78-('Income Statement'!BF18-'Key Metrics'!BF73)</f>
        <v>149542</v>
      </c>
      <c r="BG80" s="53">
        <f>BG78-('Income Statement'!BG18-'Key Metrics'!BG73)</f>
        <v>158622</v>
      </c>
      <c r="BH80" s="53">
        <f>BH78-('Income Statement'!BH18-'Key Metrics'!BH73)</f>
        <v>140967</v>
      </c>
      <c r="BI80" s="61">
        <f>SUM(BE80:BH80)</f>
        <v>558612</v>
      </c>
      <c r="BJ80" s="53">
        <f>BJ78-('Income Statement'!BJ18-'Key Metrics'!BJ73)</f>
        <v>124400</v>
      </c>
      <c r="BK80" s="53">
        <f>BK78-('Income Statement'!BK18-'Key Metrics'!BK73)</f>
        <v>147691</v>
      </c>
      <c r="BL80" s="53">
        <f>BL78-('Income Statement'!BL18-'Key Metrics'!BL73)</f>
        <v>126463</v>
      </c>
      <c r="BM80" s="53">
        <f>BM78-('Income Statement'!BM18-'Key Metrics'!BM73)</f>
        <v>99552</v>
      </c>
      <c r="BN80" s="61">
        <f>SUM(BJ80:BM80)</f>
        <v>498106</v>
      </c>
      <c r="BO80" s="53">
        <f>BO78-('Income Statement'!BO18-'Key Metrics'!BO73)</f>
        <v>73515</v>
      </c>
      <c r="BP80" s="53">
        <f>BP78-('Income Statement'!BP18-'Key Metrics'!BP73)</f>
        <v>99690</v>
      </c>
      <c r="BQ80" s="53">
        <f>BQ78-('Income Statement'!BQ18-'Key Metrics'!BQ73)</f>
        <v>78145</v>
      </c>
      <c r="BR80" s="53">
        <f>BR78-('Income Statement'!BR18-'Key Metrics'!BR73)</f>
        <v>843</v>
      </c>
      <c r="BS80" s="61">
        <f>SUM(BO80:BR80)</f>
        <v>252193</v>
      </c>
      <c r="BT80" s="53">
        <f>BT78-('Income Statement'!BT18-'Key Metrics'!BT73)</f>
        <v>46496</v>
      </c>
      <c r="BU80" s="53">
        <f>BU78-('Income Statement'!BU18-'Key Metrics'!BU73)</f>
        <v>49009</v>
      </c>
      <c r="BV80" s="53">
        <f>BV78-('Income Statement'!BV18-'Key Metrics'!BV73)</f>
        <v>37213</v>
      </c>
      <c r="BW80" s="53">
        <f>BW78-('Income Statement'!BW18-'Key Metrics'!BW73)</f>
        <v>56041</v>
      </c>
      <c r="BX80" s="61">
        <f>SUM(BT80:BW80)</f>
        <v>188759</v>
      </c>
      <c r="BY80" s="53">
        <f>BY78-('Income Statement'!BY18-'Key Metrics'!BY73)</f>
        <v>78242</v>
      </c>
      <c r="BZ80" s="53">
        <f>BZ78-('Income Statement'!BZ18-'Key Metrics'!BZ73)</f>
        <v>80752</v>
      </c>
      <c r="CA80" s="53">
        <f>CA78-('Income Statement'!CA18-'Key Metrics'!CA73)</f>
        <v>96886</v>
      </c>
      <c r="CB80" s="53">
        <f>CB78-('Income Statement'!CB18-'Key Metrics'!CB73)</f>
        <v>86003</v>
      </c>
      <c r="CC80" s="61">
        <f>SUM(BY80:CB80)</f>
        <v>341883</v>
      </c>
      <c r="CD80" s="53">
        <f>CD78-('Income Statement'!CD18-'Key Metrics'!CD73)</f>
        <v>94843</v>
      </c>
      <c r="CE80" s="53">
        <f>CE78-('Income Statement'!CE18-'Key Metrics'!CE73)</f>
        <v>81595</v>
      </c>
      <c r="CF80" s="53">
        <f>CF78-('Income Statement'!CF18-'Key Metrics'!CF73)</f>
        <v>106422</v>
      </c>
      <c r="CG80" s="53">
        <f>CG78-('Income Statement'!CG18-'Key Metrics'!CG73)</f>
        <v>-63440</v>
      </c>
      <c r="CH80" s="61">
        <f>CH78-('Income Statement'!CH18-'Key Metrics'!CH73)</f>
        <v>224970</v>
      </c>
      <c r="CI80" s="53">
        <f>CI78-('Income Statement'!CI18-'Key Metrics'!CI73)</f>
        <v>83453</v>
      </c>
      <c r="CJ80" s="53">
        <f>CJ78-('Income Statement'!CJ18-'Key Metrics'!CJ73)</f>
        <v>75095</v>
      </c>
      <c r="CK80" s="53">
        <f>CK78-('Income Statement'!CK18-'Key Metrics'!CK73)</f>
        <v>58898</v>
      </c>
      <c r="CL80" s="53">
        <f>CL78-('Income Statement'!CL18-'Key Metrics'!CL73)</f>
        <v>30754</v>
      </c>
      <c r="CM80" s="61">
        <f>CM78-('Income Statement'!CM18-'Key Metrics'!CM73)</f>
        <v>248293</v>
      </c>
      <c r="CN80" s="53">
        <f>CN78-('Income Statement'!CN18-'Key Metrics'!CN73)</f>
        <v>21896</v>
      </c>
      <c r="CO80" s="53">
        <f>CO78-('Income Statement'!CO18-'Key Metrics'!CO73)</f>
        <v>13568</v>
      </c>
      <c r="CP80" s="53"/>
      <c r="CQ80" s="53"/>
      <c r="CR80" s="61"/>
    </row>
    <row r="81" spans="1:96" s="2" customFormat="1" ht="11.15" customHeight="1" x14ac:dyDescent="0.25">
      <c r="A81" s="21" t="s">
        <v>20</v>
      </c>
      <c r="B81" s="11"/>
      <c r="C81" s="11"/>
      <c r="D81" s="11"/>
      <c r="E81" s="11"/>
      <c r="F81" s="79"/>
      <c r="G81" s="11"/>
      <c r="H81" s="11"/>
      <c r="I81" s="11"/>
      <c r="J81" s="11"/>
      <c r="K81" s="79"/>
      <c r="L81" s="18"/>
      <c r="M81" s="18"/>
      <c r="N81" s="18"/>
      <c r="O81" s="18"/>
      <c r="P81" s="67"/>
      <c r="Q81" s="18">
        <f t="shared" ref="Q81" si="326">Q80/Q76</f>
        <v>3.2099856866212008E-2</v>
      </c>
      <c r="R81" s="18">
        <f t="shared" ref="R81" si="327">R80/R76</f>
        <v>-4.3883449333490619E-3</v>
      </c>
      <c r="S81" s="18">
        <f t="shared" ref="S81" si="328">S80/S76</f>
        <v>8.7984698313336815E-2</v>
      </c>
      <c r="T81" s="18">
        <f t="shared" ref="T81" si="329">T80/T76</f>
        <v>9.4575961781212983E-2</v>
      </c>
      <c r="U81" s="67">
        <f t="shared" ref="U81" si="330">U80/U76</f>
        <v>5.4734943488051913E-2</v>
      </c>
      <c r="V81" s="18">
        <f t="shared" ref="V81" si="331">V80/V76</f>
        <v>0.10861131109511239</v>
      </c>
      <c r="W81" s="18">
        <f t="shared" ref="W81" si="332">W80/W76</f>
        <v>0.2435082596123565</v>
      </c>
      <c r="X81" s="18">
        <f t="shared" ref="X81" si="333">X80/X76</f>
        <v>0.25083119655498165</v>
      </c>
      <c r="Y81" s="18">
        <f t="shared" ref="Y81" si="334">Y80/Y76</f>
        <v>0.37384983168268526</v>
      </c>
      <c r="Z81" s="67">
        <f t="shared" ref="Z81" si="335">Z80/Z76</f>
        <v>0.26723513769680374</v>
      </c>
      <c r="AA81" s="18">
        <f t="shared" ref="AA81:BF81" si="336">AA80/AA76</f>
        <v>0.34729338382713298</v>
      </c>
      <c r="AB81" s="18">
        <f t="shared" si="336"/>
        <v>0.3799853321226514</v>
      </c>
      <c r="AC81" s="18">
        <f t="shared" si="336"/>
        <v>0.38379159685949871</v>
      </c>
      <c r="AD81" s="18">
        <f t="shared" si="336"/>
        <v>0.37611271108783872</v>
      </c>
      <c r="AE81" s="67">
        <f t="shared" si="336"/>
        <v>0.37290337253598438</v>
      </c>
      <c r="AF81" s="18">
        <f t="shared" si="336"/>
        <v>0.36647809689585148</v>
      </c>
      <c r="AG81" s="18">
        <f t="shared" si="336"/>
        <v>0.40811519613012998</v>
      </c>
      <c r="AH81" s="18">
        <f t="shared" si="336"/>
        <v>0.38864288368183508</v>
      </c>
      <c r="AI81" s="18">
        <f t="shared" si="336"/>
        <v>0.32842889359666505</v>
      </c>
      <c r="AJ81" s="67">
        <f t="shared" si="336"/>
        <v>0.37340073644136551</v>
      </c>
      <c r="AK81" s="18">
        <f t="shared" si="336"/>
        <v>0.3523547946351393</v>
      </c>
      <c r="AL81" s="18">
        <f t="shared" si="336"/>
        <v>0.35463627125291941</v>
      </c>
      <c r="AM81" s="18">
        <f t="shared" si="336"/>
        <v>0.34779148659324316</v>
      </c>
      <c r="AN81" s="18">
        <f t="shared" si="336"/>
        <v>0.2963759821166374</v>
      </c>
      <c r="AO81" s="67">
        <f t="shared" si="336"/>
        <v>0.33738363140699579</v>
      </c>
      <c r="AP81" s="18">
        <f t="shared" si="336"/>
        <v>0.3311604647742315</v>
      </c>
      <c r="AQ81" s="18">
        <f t="shared" si="336"/>
        <v>0.35961773893954746</v>
      </c>
      <c r="AR81" s="18">
        <f t="shared" si="336"/>
        <v>0.38757102733336324</v>
      </c>
      <c r="AS81" s="18">
        <f t="shared" si="336"/>
        <v>0.37995522976853424</v>
      </c>
      <c r="AT81" s="67">
        <f t="shared" si="336"/>
        <v>0.36630193898695518</v>
      </c>
      <c r="AU81" s="18">
        <f t="shared" si="336"/>
        <v>0.40271128037722159</v>
      </c>
      <c r="AV81" s="18">
        <f t="shared" si="336"/>
        <v>0.36628367825834451</v>
      </c>
      <c r="AW81" s="18">
        <f t="shared" si="336"/>
        <v>0.35951253307892378</v>
      </c>
      <c r="AX81" s="18">
        <f t="shared" si="336"/>
        <v>0.368425904972635</v>
      </c>
      <c r="AY81" s="67">
        <f t="shared" si="336"/>
        <v>0.37319163944733252</v>
      </c>
      <c r="AZ81" s="18">
        <f t="shared" si="336"/>
        <v>0.33726628042586809</v>
      </c>
      <c r="BA81" s="18">
        <f t="shared" si="336"/>
        <v>0.37153449198592114</v>
      </c>
      <c r="BB81" s="18">
        <f t="shared" si="336"/>
        <v>0.35477600301473416</v>
      </c>
      <c r="BC81" s="18">
        <f t="shared" si="336"/>
        <v>0.38092787295051833</v>
      </c>
      <c r="BD81" s="67">
        <f t="shared" si="336"/>
        <v>0.36263698640187114</v>
      </c>
      <c r="BE81" s="18">
        <f t="shared" si="336"/>
        <v>0.37043641260582111</v>
      </c>
      <c r="BF81" s="18">
        <f t="shared" si="336"/>
        <v>0.39273267799975314</v>
      </c>
      <c r="BG81" s="18">
        <f t="shared" ref="BG81:BK81" si="337">BG80/BG76</f>
        <v>0.40890916824562085</v>
      </c>
      <c r="BH81" s="18">
        <f t="shared" si="337"/>
        <v>0.40664926223478676</v>
      </c>
      <c r="BI81" s="67">
        <f t="shared" si="337"/>
        <v>0.39592909151605832</v>
      </c>
      <c r="BJ81" s="18">
        <f t="shared" si="337"/>
        <v>0.37689660187115226</v>
      </c>
      <c r="BK81" s="18">
        <f t="shared" si="337"/>
        <v>0.3776172103714272</v>
      </c>
      <c r="BL81" s="18">
        <f t="shared" ref="BL81:BP81" si="338">BL80/BL76</f>
        <v>0.34671524841944806</v>
      </c>
      <c r="BM81" s="18">
        <f t="shared" si="338"/>
        <v>0.29267002007931769</v>
      </c>
      <c r="BN81" s="67">
        <f t="shared" si="338"/>
        <v>0.34928481972183772</v>
      </c>
      <c r="BO81" s="18">
        <f t="shared" si="338"/>
        <v>0.22294365073829331</v>
      </c>
      <c r="BP81" s="18">
        <f t="shared" si="338"/>
        <v>0.26105811155134351</v>
      </c>
      <c r="BQ81" s="18">
        <f t="shared" ref="BQ81:BU81" si="339">BQ80/BQ76</f>
        <v>0.23185812875699477</v>
      </c>
      <c r="BR81" s="18">
        <f t="shared" si="339"/>
        <v>2.7164893805566386E-3</v>
      </c>
      <c r="BS81" s="67">
        <f t="shared" si="339"/>
        <v>0.18557507426520312</v>
      </c>
      <c r="BT81" s="18">
        <f t="shared" si="339"/>
        <v>0.18259360199809929</v>
      </c>
      <c r="BU81" s="18">
        <f t="shared" si="339"/>
        <v>0.16099615322705157</v>
      </c>
      <c r="BV81" s="18">
        <f t="shared" ref="BV81:BZ81" si="340">BV80/BV76</f>
        <v>0.11842184819931199</v>
      </c>
      <c r="BW81" s="18">
        <f>BW80/BW76</f>
        <v>0.17247099375250055</v>
      </c>
      <c r="BX81" s="67">
        <f t="shared" si="340"/>
        <v>0.15753231449211499</v>
      </c>
      <c r="BY81" s="18">
        <f t="shared" si="340"/>
        <v>0.23804554512679313</v>
      </c>
      <c r="BZ81" s="18">
        <f t="shared" si="340"/>
        <v>0.23154164205552275</v>
      </c>
      <c r="CA81" s="18">
        <f t="shared" ref="CA81" si="341">CA80/CA76</f>
        <v>0.26181867315227669</v>
      </c>
      <c r="CB81" s="18">
        <f>CB80/CB76</f>
        <v>0.23404278479428084</v>
      </c>
      <c r="CC81" s="67">
        <f t="shared" ref="CC81:CD81" si="342">CC80/CC76</f>
        <v>0.24162025781647536</v>
      </c>
      <c r="CD81" s="18">
        <f t="shared" si="342"/>
        <v>0.24981759467297424</v>
      </c>
      <c r="CE81" s="18">
        <f t="shared" ref="CE81" si="343">CE80/CE76</f>
        <v>0.20635386292307031</v>
      </c>
      <c r="CF81" s="18">
        <f t="shared" ref="CF81:CK81" si="344">CF80/CF76</f>
        <v>0.28380259529689106</v>
      </c>
      <c r="CG81" s="18">
        <f t="shared" si="344"/>
        <v>-0.17694524013399196</v>
      </c>
      <c r="CH81" s="67">
        <f t="shared" si="344"/>
        <v>0.14912729015489432</v>
      </c>
      <c r="CI81" s="18">
        <f t="shared" si="344"/>
        <v>0.23022469895306014</v>
      </c>
      <c r="CJ81" s="18">
        <f t="shared" si="344"/>
        <v>0.2153292520322872</v>
      </c>
      <c r="CK81" s="18">
        <f t="shared" si="344"/>
        <v>0.19177645074531613</v>
      </c>
      <c r="CL81" s="18">
        <f t="shared" ref="CL81:CO81" si="345">CL80/CL76</f>
        <v>0.10117179532729342</v>
      </c>
      <c r="CM81" s="67">
        <f t="shared" si="345"/>
        <v>0.18776988427967081</v>
      </c>
      <c r="CN81" s="18">
        <f t="shared" si="345"/>
        <v>8.427697163311651E-2</v>
      </c>
      <c r="CO81" s="18">
        <f t="shared" si="345"/>
        <v>5.1476613955747111E-2</v>
      </c>
      <c r="CP81" s="18"/>
      <c r="CQ81" s="18"/>
      <c r="CR81" s="67"/>
    </row>
    <row r="82" spans="1:96" s="2" customFormat="1" ht="11.15" customHeight="1" x14ac:dyDescent="0.25">
      <c r="A82" s="6"/>
      <c r="B82" s="11"/>
      <c r="C82" s="11"/>
      <c r="D82" s="11"/>
      <c r="E82" s="11"/>
      <c r="F82" s="79"/>
      <c r="G82" s="11"/>
      <c r="H82" s="11"/>
      <c r="I82" s="11"/>
      <c r="J82" s="11"/>
      <c r="K82" s="79"/>
      <c r="L82" s="11"/>
      <c r="M82" s="11"/>
      <c r="N82" s="11"/>
      <c r="O82" s="11"/>
      <c r="P82" s="79"/>
      <c r="Q82" s="11"/>
      <c r="R82" s="11"/>
      <c r="S82" s="11"/>
      <c r="T82" s="11"/>
      <c r="U82" s="79"/>
      <c r="V82" s="11"/>
      <c r="W82" s="11"/>
      <c r="X82" s="11"/>
      <c r="Y82" s="11"/>
      <c r="Z82" s="79"/>
      <c r="AA82" s="11"/>
      <c r="AB82" s="11"/>
      <c r="AC82" s="11"/>
      <c r="AD82" s="11"/>
      <c r="AE82" s="79"/>
      <c r="AF82" s="11"/>
      <c r="AG82" s="11"/>
      <c r="AH82" s="11"/>
      <c r="AI82" s="11"/>
      <c r="AJ82" s="79"/>
      <c r="AK82" s="11"/>
      <c r="AL82" s="11"/>
      <c r="AM82" s="11"/>
      <c r="AN82" s="11"/>
      <c r="AO82" s="79"/>
      <c r="AP82" s="11"/>
      <c r="AQ82" s="11"/>
      <c r="AR82" s="11"/>
      <c r="AS82" s="11"/>
      <c r="AT82" s="79"/>
      <c r="AU82" s="45"/>
      <c r="AV82" s="11"/>
      <c r="AW82" s="11"/>
      <c r="AX82" s="11"/>
      <c r="AY82" s="79"/>
      <c r="AZ82" s="11"/>
      <c r="BA82" s="11"/>
      <c r="BB82" s="11"/>
      <c r="BC82" s="11"/>
      <c r="BD82" s="79"/>
      <c r="BE82" s="11"/>
      <c r="BF82" s="11"/>
      <c r="BG82" s="11"/>
      <c r="BH82" s="11"/>
      <c r="BI82" s="79"/>
      <c r="BJ82" s="11"/>
      <c r="BK82" s="11"/>
      <c r="BL82" s="11"/>
      <c r="BM82" s="11"/>
      <c r="BN82" s="79"/>
      <c r="BO82" s="11"/>
      <c r="BP82" s="11"/>
      <c r="BQ82" s="11"/>
      <c r="BR82" s="11"/>
      <c r="BS82" s="79"/>
      <c r="BT82" s="11"/>
      <c r="BU82" s="11"/>
      <c r="BV82" s="11"/>
      <c r="BW82" s="11"/>
      <c r="BX82" s="79"/>
      <c r="BY82" s="11"/>
      <c r="BZ82" s="11"/>
      <c r="CA82" s="11"/>
      <c r="CB82" s="11"/>
      <c r="CC82" s="79"/>
      <c r="CD82" s="11"/>
      <c r="CE82" s="11"/>
      <c r="CF82" s="11"/>
      <c r="CG82" s="11"/>
      <c r="CH82" s="79"/>
      <c r="CI82" s="11"/>
      <c r="CJ82" s="11"/>
      <c r="CK82" s="11"/>
      <c r="CL82" s="11"/>
      <c r="CM82" s="79"/>
      <c r="CN82" s="11"/>
      <c r="CO82" s="11"/>
      <c r="CP82" s="11"/>
      <c r="CQ82" s="11"/>
      <c r="CR82" s="79"/>
    </row>
    <row r="83" spans="1:96" s="2" customFormat="1" ht="11.15" customHeight="1" x14ac:dyDescent="0.25">
      <c r="A83" s="35" t="s">
        <v>156</v>
      </c>
      <c r="B83" s="4"/>
      <c r="C83" s="4"/>
      <c r="D83" s="5"/>
      <c r="E83" s="5"/>
      <c r="F83" s="69"/>
      <c r="G83" s="4"/>
      <c r="H83" s="4"/>
      <c r="I83" s="5"/>
      <c r="J83" s="5"/>
      <c r="K83" s="69"/>
      <c r="L83" s="4"/>
      <c r="M83" s="4"/>
      <c r="N83" s="5"/>
      <c r="O83" s="5"/>
      <c r="P83" s="69"/>
      <c r="Q83" s="4"/>
      <c r="R83" s="4"/>
      <c r="S83" s="5"/>
      <c r="T83" s="5"/>
      <c r="U83" s="69"/>
      <c r="V83" s="4"/>
      <c r="W83" s="4"/>
      <c r="X83" s="5"/>
      <c r="Y83" s="5"/>
      <c r="Z83" s="69"/>
      <c r="AA83" s="4"/>
      <c r="AB83" s="4"/>
      <c r="AC83" s="5"/>
      <c r="AD83" s="5"/>
      <c r="AE83" s="69"/>
      <c r="AF83" s="4"/>
      <c r="AG83" s="4"/>
      <c r="AH83" s="5"/>
      <c r="AI83" s="5"/>
      <c r="AJ83" s="69"/>
      <c r="AK83" s="4"/>
      <c r="AL83" s="4"/>
      <c r="AM83" s="5"/>
      <c r="AN83" s="5"/>
      <c r="AO83" s="69"/>
      <c r="AP83" s="4"/>
      <c r="AQ83" s="4"/>
      <c r="AR83" s="5"/>
      <c r="AS83" s="5"/>
      <c r="AT83" s="69"/>
      <c r="AU83" s="32"/>
      <c r="AV83" s="32"/>
      <c r="AW83" s="5"/>
      <c r="AX83" s="5"/>
      <c r="AY83" s="69"/>
      <c r="AZ83" s="11"/>
      <c r="BA83" s="11"/>
      <c r="BB83" s="11"/>
      <c r="BC83" s="11"/>
      <c r="BD83" s="69"/>
      <c r="BE83" s="11"/>
      <c r="BF83" s="11"/>
      <c r="BG83" s="5"/>
      <c r="BH83" s="5"/>
      <c r="BI83" s="69"/>
      <c r="BJ83" s="11"/>
      <c r="BK83" s="11"/>
      <c r="BL83" s="5"/>
      <c r="BM83" s="5"/>
      <c r="BN83" s="69"/>
      <c r="BO83" s="11"/>
      <c r="BP83" s="11"/>
      <c r="BQ83" s="5"/>
      <c r="BR83" s="5"/>
      <c r="BS83" s="69"/>
      <c r="BT83" s="11"/>
      <c r="BU83" s="11"/>
      <c r="BV83" s="5"/>
      <c r="BW83" s="5"/>
      <c r="BX83" s="69"/>
      <c r="BY83" s="11"/>
      <c r="BZ83" s="11"/>
      <c r="CA83" s="11"/>
      <c r="CB83" s="5"/>
      <c r="CC83" s="69"/>
      <c r="CD83" s="11"/>
      <c r="CE83" s="11"/>
      <c r="CF83" s="11"/>
      <c r="CG83" s="5"/>
      <c r="CH83" s="69"/>
      <c r="CI83" s="11"/>
      <c r="CJ83" s="11"/>
      <c r="CK83" s="11"/>
      <c r="CL83" s="5"/>
      <c r="CM83" s="69"/>
      <c r="CN83" s="11"/>
      <c r="CO83" s="11"/>
      <c r="CP83" s="11"/>
      <c r="CQ83" s="5"/>
      <c r="CR83" s="69"/>
    </row>
    <row r="84" spans="1:96" ht="11.15" customHeight="1" x14ac:dyDescent="0.2">
      <c r="A84" s="7" t="s">
        <v>150</v>
      </c>
      <c r="B84" s="11"/>
      <c r="C84" s="11"/>
      <c r="D84" s="11"/>
      <c r="E84" s="11"/>
      <c r="F84" s="65">
        <v>32798</v>
      </c>
      <c r="G84" s="11"/>
      <c r="H84" s="11"/>
      <c r="I84" s="11"/>
      <c r="J84" s="11"/>
      <c r="K84" s="65">
        <v>44560</v>
      </c>
      <c r="L84" s="11"/>
      <c r="M84" s="11"/>
      <c r="N84" s="11"/>
      <c r="O84" s="11"/>
      <c r="P84" s="65">
        <v>61943</v>
      </c>
      <c r="Q84" s="11"/>
      <c r="R84" s="11"/>
      <c r="S84" s="11"/>
      <c r="T84" s="11"/>
      <c r="U84" s="65">
        <v>57898</v>
      </c>
      <c r="V84" s="11"/>
      <c r="W84" s="11"/>
      <c r="X84" s="11"/>
      <c r="Y84" s="11"/>
      <c r="Z84" s="65">
        <v>59072</v>
      </c>
      <c r="AA84" s="11"/>
      <c r="AB84" s="11"/>
      <c r="AC84" s="11"/>
      <c r="AD84" s="11"/>
      <c r="AE84" s="65">
        <v>67550</v>
      </c>
      <c r="AF84" s="11"/>
      <c r="AG84" s="11"/>
      <c r="AH84" s="11"/>
      <c r="AI84" s="11"/>
      <c r="AJ84" s="65">
        <v>86226</v>
      </c>
      <c r="AK84" s="11"/>
      <c r="AL84" s="11"/>
      <c r="AM84" s="11"/>
      <c r="AN84" s="11"/>
      <c r="AO84" s="65">
        <v>110441</v>
      </c>
      <c r="AP84" s="11"/>
      <c r="AQ84" s="11"/>
      <c r="AR84" s="11"/>
      <c r="AS84" s="11"/>
      <c r="AT84" s="65">
        <v>155428</v>
      </c>
      <c r="AU84" s="11"/>
      <c r="AV84" s="11"/>
      <c r="AW84" s="11"/>
      <c r="AX84" s="11"/>
      <c r="AY84" s="65">
        <v>170981</v>
      </c>
      <c r="AZ84" s="11"/>
      <c r="BA84" s="11"/>
      <c r="BB84" s="11"/>
      <c r="BC84" s="11"/>
      <c r="BD84" s="65">
        <v>230116</v>
      </c>
      <c r="BE84" s="11"/>
      <c r="BF84" s="11"/>
      <c r="BG84" s="11"/>
      <c r="BH84" s="11"/>
      <c r="BI84" s="65">
        <v>273947</v>
      </c>
      <c r="BJ84" s="11"/>
      <c r="BK84" s="11"/>
      <c r="BL84" s="11"/>
      <c r="BM84" s="11"/>
      <c r="BN84" s="65">
        <v>346343</v>
      </c>
      <c r="BO84" s="11"/>
      <c r="BP84" s="11"/>
      <c r="BQ84" s="11"/>
      <c r="BR84" s="11"/>
      <c r="BS84" s="65">
        <v>366059</v>
      </c>
      <c r="BT84" s="11"/>
      <c r="BU84" s="11"/>
      <c r="BV84" s="11"/>
      <c r="BW84" s="11"/>
      <c r="BX84" s="70">
        <v>362395</v>
      </c>
      <c r="BY84" s="11"/>
      <c r="BZ84" s="11"/>
      <c r="CA84" s="11"/>
      <c r="CB84" s="11"/>
      <c r="CC84" s="70">
        <v>390255</v>
      </c>
      <c r="CD84" s="11"/>
      <c r="CE84" s="11"/>
      <c r="CF84" s="11"/>
      <c r="CG84" s="11"/>
      <c r="CH84" s="70">
        <v>388111</v>
      </c>
      <c r="CI84" s="11"/>
      <c r="CJ84" s="11"/>
      <c r="CK84" s="11"/>
      <c r="CL84" s="11"/>
      <c r="CM84" s="70">
        <v>384088</v>
      </c>
      <c r="CN84" s="11"/>
      <c r="CO84" s="11"/>
      <c r="CP84" s="11"/>
      <c r="CQ84" s="11"/>
      <c r="CR84" s="70"/>
    </row>
    <row r="85" spans="1:96" ht="11.15" customHeight="1" x14ac:dyDescent="0.2">
      <c r="A85" s="7" t="s">
        <v>37</v>
      </c>
      <c r="B85" s="11"/>
      <c r="C85" s="11"/>
      <c r="D85" s="11"/>
      <c r="E85" s="11"/>
      <c r="F85" s="65">
        <v>30108</v>
      </c>
      <c r="G85" s="11"/>
      <c r="H85" s="11"/>
      <c r="I85" s="11"/>
      <c r="J85" s="11"/>
      <c r="K85" s="65">
        <v>41112</v>
      </c>
      <c r="L85" s="11"/>
      <c r="M85" s="11"/>
      <c r="N85" s="11"/>
      <c r="O85" s="11"/>
      <c r="P85" s="65">
        <v>48424</v>
      </c>
      <c r="Q85" s="11"/>
      <c r="R85" s="11"/>
      <c r="S85" s="11"/>
      <c r="T85" s="11"/>
      <c r="U85" s="65">
        <v>46567</v>
      </c>
      <c r="V85" s="11"/>
      <c r="W85" s="11"/>
      <c r="X85" s="11"/>
      <c r="Y85" s="11"/>
      <c r="Z85" s="65">
        <v>41065</v>
      </c>
      <c r="AA85" s="11"/>
      <c r="AB85" s="11"/>
      <c r="AC85" s="11"/>
      <c r="AD85" s="11"/>
      <c r="AE85" s="65">
        <v>40983</v>
      </c>
      <c r="AF85" s="11"/>
      <c r="AG85" s="11"/>
      <c r="AH85" s="11"/>
      <c r="AI85" s="11"/>
      <c r="AJ85" s="65">
        <v>47019</v>
      </c>
      <c r="AK85" s="11"/>
      <c r="AL85" s="11"/>
      <c r="AM85" s="11"/>
      <c r="AN85" s="11"/>
      <c r="AO85" s="65">
        <v>52791</v>
      </c>
      <c r="AP85" s="11"/>
      <c r="AQ85" s="11"/>
      <c r="AR85" s="11"/>
      <c r="AS85" s="11"/>
      <c r="AT85" s="65">
        <v>51528</v>
      </c>
      <c r="AU85" s="11"/>
      <c r="AV85" s="11"/>
      <c r="AW85" s="11"/>
      <c r="AX85" s="11"/>
      <c r="AY85" s="65">
        <v>53678</v>
      </c>
      <c r="AZ85" s="11"/>
      <c r="BA85" s="11"/>
      <c r="BB85" s="11"/>
      <c r="BC85" s="11"/>
      <c r="BD85" s="65">
        <v>61792</v>
      </c>
      <c r="BE85" s="11"/>
      <c r="BF85" s="11"/>
      <c r="BG85" s="11"/>
      <c r="BH85" s="11"/>
      <c r="BI85" s="65">
        <v>83826</v>
      </c>
      <c r="BJ85" s="11"/>
      <c r="BK85" s="11"/>
      <c r="BL85" s="11"/>
      <c r="BM85" s="11"/>
      <c r="BN85" s="65">
        <v>76359</v>
      </c>
      <c r="BO85" s="11"/>
      <c r="BP85" s="11"/>
      <c r="BQ85" s="11"/>
      <c r="BR85" s="11"/>
      <c r="BS85" s="65">
        <v>86881</v>
      </c>
      <c r="BT85" s="11"/>
      <c r="BU85" s="11"/>
      <c r="BV85" s="11"/>
      <c r="BW85" s="11"/>
      <c r="BX85" s="65">
        <v>86980</v>
      </c>
      <c r="BY85" s="11"/>
      <c r="BZ85" s="11"/>
      <c r="CA85" s="11"/>
      <c r="CB85" s="11"/>
      <c r="CC85" s="65">
        <v>89017</v>
      </c>
      <c r="CD85" s="11"/>
      <c r="CE85" s="11"/>
      <c r="CF85" s="11"/>
      <c r="CG85" s="11"/>
      <c r="CH85" s="65">
        <v>111726</v>
      </c>
      <c r="CI85" s="11"/>
      <c r="CJ85" s="11"/>
      <c r="CK85" s="11"/>
      <c r="CL85" s="11"/>
      <c r="CM85" s="65">
        <v>132218</v>
      </c>
      <c r="CN85" s="11"/>
      <c r="CO85" s="11"/>
      <c r="CP85" s="11"/>
      <c r="CQ85" s="11"/>
      <c r="CR85" s="65"/>
    </row>
    <row r="86" spans="1:96" ht="11.15" customHeight="1" x14ac:dyDescent="0.2">
      <c r="A86" s="7" t="s">
        <v>21</v>
      </c>
      <c r="B86" s="11"/>
      <c r="C86" s="11"/>
      <c r="D86" s="11"/>
      <c r="E86" s="11"/>
      <c r="F86" s="65">
        <v>4247</v>
      </c>
      <c r="G86" s="11"/>
      <c r="H86" s="11"/>
      <c r="I86" s="11"/>
      <c r="J86" s="11"/>
      <c r="K86" s="65">
        <v>10698</v>
      </c>
      <c r="L86" s="11"/>
      <c r="M86" s="11"/>
      <c r="N86" s="11"/>
      <c r="O86" s="11"/>
      <c r="P86" s="65">
        <v>16083</v>
      </c>
      <c r="Q86" s="11"/>
      <c r="R86" s="11"/>
      <c r="S86" s="11"/>
      <c r="T86" s="11"/>
      <c r="U86" s="65">
        <v>15871</v>
      </c>
      <c r="V86" s="11"/>
      <c r="W86" s="11"/>
      <c r="X86" s="11"/>
      <c r="Y86" s="11"/>
      <c r="Z86" s="65">
        <v>25166</v>
      </c>
      <c r="AA86" s="11"/>
      <c r="AB86" s="11"/>
      <c r="AC86" s="11"/>
      <c r="AD86" s="11"/>
      <c r="AE86" s="65">
        <v>50468</v>
      </c>
      <c r="AF86" s="11"/>
      <c r="AG86" s="11"/>
      <c r="AH86" s="11"/>
      <c r="AI86" s="11"/>
      <c r="AJ86" s="65">
        <v>82249</v>
      </c>
      <c r="AK86" s="11"/>
      <c r="AL86" s="11"/>
      <c r="AM86" s="11"/>
      <c r="AN86" s="11"/>
      <c r="AO86" s="65">
        <v>93122</v>
      </c>
      <c r="AP86" s="11"/>
      <c r="AQ86" s="11"/>
      <c r="AR86" s="11"/>
      <c r="AS86" s="11"/>
      <c r="AT86" s="65">
        <v>78701</v>
      </c>
      <c r="AU86" s="11"/>
      <c r="AV86" s="11"/>
      <c r="AW86" s="11"/>
      <c r="AX86" s="11"/>
      <c r="AY86" s="65">
        <v>73432</v>
      </c>
      <c r="AZ86" s="11"/>
      <c r="BA86" s="11"/>
      <c r="BB86" s="11"/>
      <c r="BC86" s="11"/>
      <c r="BD86" s="65">
        <v>99178</v>
      </c>
      <c r="BE86" s="11"/>
      <c r="BF86" s="11"/>
      <c r="BG86" s="11"/>
      <c r="BH86" s="11"/>
      <c r="BI86" s="65">
        <v>116081</v>
      </c>
      <c r="BJ86" s="11"/>
      <c r="BK86" s="11"/>
      <c r="BL86" s="11"/>
      <c r="BM86" s="11"/>
      <c r="BN86" s="65">
        <v>131030</v>
      </c>
      <c r="BO86" s="11"/>
      <c r="BP86" s="11"/>
      <c r="BQ86" s="11"/>
      <c r="BR86" s="11"/>
      <c r="BS86" s="65">
        <v>165020</v>
      </c>
      <c r="BT86" s="11"/>
      <c r="BU86" s="11"/>
      <c r="BV86" s="11"/>
      <c r="BW86" s="11"/>
      <c r="BX86" s="65">
        <v>162573</v>
      </c>
      <c r="BY86" s="11"/>
      <c r="BZ86" s="11"/>
      <c r="CA86" s="11"/>
      <c r="CB86" s="11"/>
      <c r="CC86" s="65">
        <v>170193</v>
      </c>
      <c r="CD86" s="11"/>
      <c r="CE86" s="11"/>
      <c r="CF86" s="11"/>
      <c r="CG86" s="11"/>
      <c r="CH86" s="65">
        <v>90427</v>
      </c>
      <c r="CI86" s="11"/>
      <c r="CJ86" s="11"/>
      <c r="CK86" s="11"/>
      <c r="CL86" s="11"/>
      <c r="CM86" s="65">
        <v>97426</v>
      </c>
      <c r="CN86" s="11"/>
      <c r="CO86" s="11"/>
      <c r="CP86" s="11"/>
      <c r="CQ86" s="11"/>
      <c r="CR86" s="65"/>
    </row>
    <row r="87" spans="1:96" ht="11.15" customHeight="1" x14ac:dyDescent="0.2">
      <c r="A87" s="6" t="s">
        <v>214</v>
      </c>
      <c r="B87" s="12"/>
      <c r="C87" s="12"/>
      <c r="D87" s="12"/>
      <c r="E87" s="12"/>
      <c r="F87" s="60">
        <f>SUM(F84:F86)</f>
        <v>67153</v>
      </c>
      <c r="G87" s="12"/>
      <c r="H87" s="12"/>
      <c r="I87" s="12"/>
      <c r="J87" s="12"/>
      <c r="K87" s="60">
        <f>SUM(K84:K86)</f>
        <v>96370</v>
      </c>
      <c r="L87" s="12"/>
      <c r="M87" s="12"/>
      <c r="N87" s="12"/>
      <c r="O87" s="12"/>
      <c r="P87" s="60">
        <f>SUM(P84:P86)</f>
        <v>126450</v>
      </c>
      <c r="Q87" s="12"/>
      <c r="R87" s="12"/>
      <c r="S87" s="12"/>
      <c r="T87" s="12"/>
      <c r="U87" s="60">
        <f>SUM(U84:U86)</f>
        <v>120336</v>
      </c>
      <c r="V87" s="12"/>
      <c r="W87" s="12"/>
      <c r="X87" s="12"/>
      <c r="Y87" s="12"/>
      <c r="Z87" s="60">
        <f>SUM(Z84:Z86)</f>
        <v>125303</v>
      </c>
      <c r="AA87" s="12"/>
      <c r="AB87" s="12"/>
      <c r="AC87" s="12"/>
      <c r="AD87" s="12"/>
      <c r="AE87" s="60">
        <f>SUM(AE84:AE86)</f>
        <v>159001</v>
      </c>
      <c r="AF87" s="12"/>
      <c r="AG87" s="12"/>
      <c r="AH87" s="12"/>
      <c r="AI87" s="12"/>
      <c r="AJ87" s="60">
        <f>SUM(AJ84:AJ86)</f>
        <v>215494</v>
      </c>
      <c r="AK87" s="12"/>
      <c r="AL87" s="12"/>
      <c r="AM87" s="12"/>
      <c r="AN87" s="12"/>
      <c r="AO87" s="60">
        <f>SUM(AO84:AO86)</f>
        <v>256354</v>
      </c>
      <c r="AP87" s="12"/>
      <c r="AQ87" s="12"/>
      <c r="AR87" s="12"/>
      <c r="AS87" s="12"/>
      <c r="AT87" s="60">
        <f>SUM(AT84:AT86)</f>
        <v>285657</v>
      </c>
      <c r="AU87" s="12"/>
      <c r="AV87" s="12"/>
      <c r="AW87" s="12"/>
      <c r="AX87" s="12"/>
      <c r="AY87" s="60">
        <f>SUM(AY84:AY86)</f>
        <v>298091</v>
      </c>
      <c r="AZ87" s="12"/>
      <c r="BA87" s="12"/>
      <c r="BB87" s="12"/>
      <c r="BC87" s="12"/>
      <c r="BD87" s="60">
        <f>SUM(BD84:BD86)</f>
        <v>391086</v>
      </c>
      <c r="BE87" s="12"/>
      <c r="BF87" s="12"/>
      <c r="BG87" s="12"/>
      <c r="BH87" s="12"/>
      <c r="BI87" s="60">
        <f>SUM(BI84:BI86)</f>
        <v>473854</v>
      </c>
      <c r="BJ87" s="12"/>
      <c r="BK87" s="12"/>
      <c r="BL87" s="12"/>
      <c r="BM87" s="12"/>
      <c r="BN87" s="60">
        <f>SUM(BN84:BN86)</f>
        <v>553732</v>
      </c>
      <c r="BO87" s="12"/>
      <c r="BP87" s="12"/>
      <c r="BQ87" s="12"/>
      <c r="BR87" s="12"/>
      <c r="BS87" s="60">
        <f>SUM(BS84:BS86)</f>
        <v>617960</v>
      </c>
      <c r="BT87" s="12"/>
      <c r="BU87" s="12"/>
      <c r="BV87" s="12"/>
      <c r="BW87" s="12"/>
      <c r="BX87" s="76">
        <f>SUM(BX84:BX86)</f>
        <v>611948</v>
      </c>
      <c r="BY87" s="12"/>
      <c r="BZ87" s="12"/>
      <c r="CA87" s="12"/>
      <c r="CB87" s="12"/>
      <c r="CC87" s="76">
        <f>SUM(CC84:CC86)</f>
        <v>649465</v>
      </c>
      <c r="CD87" s="12"/>
      <c r="CE87" s="12"/>
      <c r="CF87" s="12"/>
      <c r="CG87" s="12"/>
      <c r="CH87" s="76">
        <f>SUM(CH84:CH86)</f>
        <v>590264</v>
      </c>
      <c r="CI87" s="12"/>
      <c r="CJ87" s="12"/>
      <c r="CK87" s="12"/>
      <c r="CL87" s="12"/>
      <c r="CM87" s="76">
        <v>613732</v>
      </c>
      <c r="CN87" s="12"/>
      <c r="CO87" s="12"/>
      <c r="CP87" s="12"/>
      <c r="CQ87" s="12"/>
      <c r="CR87" s="76"/>
    </row>
    <row r="88" spans="1:96" ht="11.15" customHeight="1" x14ac:dyDescent="0.2">
      <c r="A88" s="6"/>
      <c r="B88" s="11"/>
      <c r="C88" s="11"/>
      <c r="D88" s="11"/>
      <c r="E88" s="11"/>
      <c r="F88" s="61"/>
      <c r="G88" s="11"/>
      <c r="H88" s="11"/>
      <c r="I88" s="11"/>
      <c r="J88" s="11"/>
      <c r="K88" s="61"/>
      <c r="L88" s="11"/>
      <c r="M88" s="11"/>
      <c r="N88" s="11"/>
      <c r="O88" s="11"/>
      <c r="P88" s="61"/>
      <c r="Q88" s="11"/>
      <c r="R88" s="11"/>
      <c r="S88" s="11"/>
      <c r="T88" s="11"/>
      <c r="U88" s="61"/>
      <c r="V88" s="11"/>
      <c r="W88" s="11"/>
      <c r="X88" s="11"/>
      <c r="Y88" s="11"/>
      <c r="Z88" s="61"/>
      <c r="AA88" s="11"/>
      <c r="AB88" s="11"/>
      <c r="AC88" s="11"/>
      <c r="AD88" s="11"/>
      <c r="AE88" s="61"/>
      <c r="AF88" s="11"/>
      <c r="AG88" s="11"/>
      <c r="AH88" s="11"/>
      <c r="AI88" s="11"/>
      <c r="AJ88" s="61"/>
      <c r="AK88" s="11"/>
      <c r="AL88" s="11"/>
      <c r="AM88" s="11"/>
      <c r="AN88" s="11"/>
      <c r="AO88" s="61"/>
      <c r="AP88" s="11"/>
      <c r="AQ88" s="11"/>
      <c r="AR88" s="11"/>
      <c r="AS88" s="11"/>
      <c r="AT88" s="61"/>
      <c r="AU88" s="11"/>
      <c r="AV88" s="11"/>
      <c r="AW88" s="11"/>
      <c r="AX88" s="11"/>
      <c r="AY88" s="61"/>
      <c r="AZ88" s="11"/>
      <c r="BA88" s="11"/>
      <c r="BB88" s="11"/>
      <c r="BC88" s="11"/>
      <c r="BD88" s="61"/>
      <c r="BE88" s="11"/>
      <c r="BF88" s="11"/>
      <c r="BG88" s="11"/>
      <c r="BH88" s="11"/>
      <c r="BI88" s="61"/>
      <c r="BJ88" s="11"/>
      <c r="BK88" s="11"/>
      <c r="BL88" s="11"/>
      <c r="BM88" s="11"/>
      <c r="BN88" s="61"/>
      <c r="BO88" s="11"/>
      <c r="BP88" s="11"/>
      <c r="BQ88" s="11"/>
      <c r="BR88" s="11"/>
      <c r="BS88" s="61"/>
      <c r="BT88" s="11"/>
      <c r="BU88" s="11"/>
      <c r="BV88" s="11"/>
      <c r="BW88" s="11"/>
      <c r="BX88" s="61"/>
      <c r="BY88" s="11"/>
      <c r="BZ88" s="11"/>
      <c r="CA88" s="11"/>
      <c r="CB88" s="11"/>
      <c r="CC88" s="61"/>
      <c r="CD88" s="11"/>
      <c r="CE88" s="11"/>
      <c r="CF88" s="11"/>
      <c r="CG88" s="11"/>
      <c r="CH88" s="61"/>
      <c r="CI88" s="11"/>
      <c r="CJ88" s="11"/>
      <c r="CK88" s="11"/>
      <c r="CL88" s="11"/>
      <c r="CM88" s="61"/>
      <c r="CN88" s="11"/>
      <c r="CO88" s="11"/>
      <c r="CP88" s="11"/>
      <c r="CQ88" s="11"/>
      <c r="CR88" s="61"/>
    </row>
    <row r="89" spans="1:96" s="2" customFormat="1" ht="11.15" customHeight="1" x14ac:dyDescent="0.25">
      <c r="A89" s="35" t="s">
        <v>157</v>
      </c>
      <c r="B89" s="4"/>
      <c r="C89" s="4"/>
      <c r="D89" s="5"/>
      <c r="E89" s="5"/>
      <c r="F89" s="69"/>
      <c r="G89" s="4"/>
      <c r="H89" s="4"/>
      <c r="I89" s="5"/>
      <c r="J89" s="5"/>
      <c r="K89" s="69"/>
      <c r="L89" s="4"/>
      <c r="M89" s="4"/>
      <c r="N89" s="5"/>
      <c r="O89" s="5"/>
      <c r="P89" s="69"/>
      <c r="Q89" s="4"/>
      <c r="R89" s="4"/>
      <c r="S89" s="5"/>
      <c r="T89" s="5"/>
      <c r="U89" s="69"/>
      <c r="V89" s="4"/>
      <c r="W89" s="4"/>
      <c r="X89" s="5"/>
      <c r="Y89" s="5"/>
      <c r="Z89" s="69"/>
      <c r="AA89" s="4"/>
      <c r="AB89" s="4"/>
      <c r="AC89" s="5"/>
      <c r="AD89" s="5"/>
      <c r="AE89" s="69"/>
      <c r="AF89" s="4"/>
      <c r="AG89" s="4"/>
      <c r="AH89" s="5"/>
      <c r="AI89" s="5"/>
      <c r="AJ89" s="69"/>
      <c r="AK89" s="4"/>
      <c r="AL89" s="4"/>
      <c r="AM89" s="5"/>
      <c r="AN89" s="5"/>
      <c r="AO89" s="69"/>
      <c r="AP89" s="4"/>
      <c r="AQ89" s="4"/>
      <c r="AR89" s="5"/>
      <c r="AS89" s="5"/>
      <c r="AT89" s="69"/>
      <c r="AU89" s="32"/>
      <c r="AV89" s="32"/>
      <c r="AW89" s="5"/>
      <c r="AX89" s="5"/>
      <c r="AY89" s="69"/>
      <c r="AZ89" s="11"/>
      <c r="BA89" s="11"/>
      <c r="BB89" s="11"/>
      <c r="BC89" s="11"/>
      <c r="BD89" s="69"/>
      <c r="BE89" s="11"/>
      <c r="BF89" s="11"/>
      <c r="BG89" s="5"/>
      <c r="BH89" s="5"/>
      <c r="BI89" s="69"/>
      <c r="BJ89" s="11"/>
      <c r="BK89" s="11"/>
      <c r="BL89" s="5"/>
      <c r="BM89" s="5"/>
      <c r="BN89" s="69"/>
      <c r="BO89" s="11"/>
      <c r="BP89" s="11"/>
      <c r="BQ89" s="5"/>
      <c r="BR89" s="5"/>
      <c r="BS89" s="69"/>
      <c r="BT89" s="11"/>
      <c r="BU89" s="11"/>
      <c r="BV89" s="5"/>
      <c r="BW89" s="5"/>
      <c r="BX89" s="69"/>
      <c r="BY89" s="11"/>
      <c r="BZ89" s="11"/>
      <c r="CA89" s="11"/>
      <c r="CB89" s="5"/>
      <c r="CC89" s="69"/>
      <c r="CD89" s="11"/>
      <c r="CE89" s="11"/>
      <c r="CF89" s="11"/>
      <c r="CG89" s="5"/>
      <c r="CH89" s="69"/>
      <c r="CI89" s="11"/>
      <c r="CJ89" s="11"/>
      <c r="CK89" s="11"/>
      <c r="CL89" s="5"/>
      <c r="CM89" s="69"/>
      <c r="CN89" s="11"/>
      <c r="CO89" s="11"/>
      <c r="CP89" s="11"/>
      <c r="CQ89" s="5"/>
      <c r="CR89" s="69"/>
    </row>
    <row r="90" spans="1:96" ht="11.15" customHeight="1" x14ac:dyDescent="0.2">
      <c r="A90" s="7" t="s">
        <v>150</v>
      </c>
      <c r="B90" s="11"/>
      <c r="C90" s="11"/>
      <c r="D90" s="11"/>
      <c r="E90" s="11"/>
      <c r="F90" s="85">
        <f>F84/F$87</f>
        <v>0.48840707042127679</v>
      </c>
      <c r="G90" s="11"/>
      <c r="H90" s="11"/>
      <c r="I90" s="11"/>
      <c r="J90" s="11"/>
      <c r="K90" s="85">
        <f>K84/K$87</f>
        <v>0.462384559510221</v>
      </c>
      <c r="L90" s="11"/>
      <c r="M90" s="11"/>
      <c r="N90" s="11"/>
      <c r="O90" s="11"/>
      <c r="P90" s="85">
        <f>P84/P$87</f>
        <v>0.48986160537761964</v>
      </c>
      <c r="Q90" s="11"/>
      <c r="R90" s="11"/>
      <c r="S90" s="11"/>
      <c r="T90" s="11"/>
      <c r="U90" s="85">
        <f>U84/U$87</f>
        <v>0.48113615210743255</v>
      </c>
      <c r="V90" s="11"/>
      <c r="W90" s="11"/>
      <c r="X90" s="11"/>
      <c r="Y90" s="11"/>
      <c r="Z90" s="85">
        <f>Z84/Z$87</f>
        <v>0.47143324581215135</v>
      </c>
      <c r="AA90" s="11"/>
      <c r="AB90" s="11"/>
      <c r="AC90" s="11"/>
      <c r="AD90" s="11"/>
      <c r="AE90" s="85">
        <f>AE84/AE$87</f>
        <v>0.42484009534531231</v>
      </c>
      <c r="AF90" s="11"/>
      <c r="AG90" s="11"/>
      <c r="AH90" s="11"/>
      <c r="AI90" s="11"/>
      <c r="AJ90" s="85">
        <f>AJ84/AJ$87</f>
        <v>0.40013179021225648</v>
      </c>
      <c r="AK90" s="11"/>
      <c r="AL90" s="11"/>
      <c r="AM90" s="11"/>
      <c r="AN90" s="11"/>
      <c r="AO90" s="85">
        <f>AO84/AO$87</f>
        <v>0.43081442068389803</v>
      </c>
      <c r="AP90" s="11"/>
      <c r="AQ90" s="11"/>
      <c r="AR90" s="11"/>
      <c r="AS90" s="11"/>
      <c r="AT90" s="85">
        <f>AT84/AT$87</f>
        <v>0.54410709347224118</v>
      </c>
      <c r="AU90" s="11"/>
      <c r="AV90" s="11"/>
      <c r="AW90" s="11"/>
      <c r="AX90" s="11"/>
      <c r="AY90" s="85">
        <f>AY84/AY$87</f>
        <v>0.57358658933010387</v>
      </c>
      <c r="AZ90" s="11"/>
      <c r="BA90" s="11"/>
      <c r="BB90" s="11"/>
      <c r="BC90" s="11"/>
      <c r="BD90" s="85">
        <f>BD84/BD$87</f>
        <v>0.58840255084559412</v>
      </c>
      <c r="BE90" s="11"/>
      <c r="BF90" s="11"/>
      <c r="BG90" s="11"/>
      <c r="BH90" s="11"/>
      <c r="BI90" s="85">
        <f>BI84/BI$87</f>
        <v>0.57812532974291664</v>
      </c>
      <c r="BJ90" s="11"/>
      <c r="BK90" s="11"/>
      <c r="BL90" s="11"/>
      <c r="BM90" s="11"/>
      <c r="BN90" s="85">
        <f>BN84/BN$87</f>
        <v>0.62547044418599607</v>
      </c>
      <c r="BO90" s="11"/>
      <c r="BP90" s="11"/>
      <c r="BQ90" s="11"/>
      <c r="BR90" s="11"/>
      <c r="BS90" s="85">
        <f>BS84/BS$87</f>
        <v>0.5923668198588905</v>
      </c>
      <c r="BT90" s="11"/>
      <c r="BU90" s="11"/>
      <c r="BV90" s="11"/>
      <c r="BW90" s="11"/>
      <c r="BX90" s="85">
        <f>BX84/BX$87</f>
        <v>0.59219901037343037</v>
      </c>
      <c r="BY90" s="11"/>
      <c r="BZ90" s="11"/>
      <c r="CA90" s="11"/>
      <c r="CB90" s="11"/>
      <c r="CC90" s="85">
        <f>CC84/CC$87</f>
        <v>0.6008868838197593</v>
      </c>
      <c r="CD90" s="11"/>
      <c r="CE90" s="11"/>
      <c r="CF90" s="11"/>
      <c r="CG90" s="11"/>
      <c r="CH90" s="85">
        <f>CH84/CH$87</f>
        <v>0.65752104143230827</v>
      </c>
      <c r="CI90" s="11"/>
      <c r="CJ90" s="11"/>
      <c r="CK90" s="11"/>
      <c r="CL90" s="11"/>
      <c r="CM90" s="85">
        <f>CM84/CM$87</f>
        <v>0.62582364941049184</v>
      </c>
      <c r="CN90" s="11"/>
      <c r="CO90" s="11"/>
      <c r="CP90" s="11"/>
      <c r="CQ90" s="11"/>
      <c r="CR90" s="85"/>
    </row>
    <row r="91" spans="1:96" ht="11.15" customHeight="1" x14ac:dyDescent="0.2">
      <c r="A91" s="7" t="s">
        <v>37</v>
      </c>
      <c r="B91" s="11"/>
      <c r="C91" s="11"/>
      <c r="D91" s="11"/>
      <c r="E91" s="11"/>
      <c r="F91" s="85">
        <f>F85/F$87</f>
        <v>0.44834929191547662</v>
      </c>
      <c r="G91" s="11"/>
      <c r="H91" s="11"/>
      <c r="I91" s="11"/>
      <c r="J91" s="11"/>
      <c r="K91" s="85">
        <f>K85/K$87</f>
        <v>0.42660579018366712</v>
      </c>
      <c r="L91" s="11"/>
      <c r="M91" s="11"/>
      <c r="N91" s="11"/>
      <c r="O91" s="11"/>
      <c r="P91" s="85">
        <f>P85/P$87</f>
        <v>0.38294978252273626</v>
      </c>
      <c r="Q91" s="11"/>
      <c r="R91" s="11"/>
      <c r="S91" s="11"/>
      <c r="T91" s="11"/>
      <c r="U91" s="85">
        <f>U85/U$87</f>
        <v>0.38697480388246241</v>
      </c>
      <c r="V91" s="11"/>
      <c r="W91" s="11"/>
      <c r="X91" s="11"/>
      <c r="Y91" s="11"/>
      <c r="Z91" s="85">
        <f>Z85/Z$87</f>
        <v>0.32772559316217487</v>
      </c>
      <c r="AA91" s="11"/>
      <c r="AB91" s="11"/>
      <c r="AC91" s="11"/>
      <c r="AD91" s="11"/>
      <c r="AE91" s="85">
        <f>AE85/AE$87</f>
        <v>0.25775309589247869</v>
      </c>
      <c r="AF91" s="11"/>
      <c r="AG91" s="11"/>
      <c r="AH91" s="11"/>
      <c r="AI91" s="11"/>
      <c r="AJ91" s="85">
        <f>AJ85/AJ$87</f>
        <v>0.21819168979182715</v>
      </c>
      <c r="AK91" s="11"/>
      <c r="AL91" s="11"/>
      <c r="AM91" s="11"/>
      <c r="AN91" s="11"/>
      <c r="AO91" s="85">
        <f>AO85/AO$87</f>
        <v>0.20593008105978453</v>
      </c>
      <c r="AP91" s="11"/>
      <c r="AQ91" s="11"/>
      <c r="AR91" s="11"/>
      <c r="AS91" s="11"/>
      <c r="AT91" s="85">
        <f>AT85/AT$87</f>
        <v>0.18038416702548862</v>
      </c>
      <c r="AU91" s="11"/>
      <c r="AV91" s="11"/>
      <c r="AW91" s="11"/>
      <c r="AX91" s="11"/>
      <c r="AY91" s="85">
        <f>AY85/AY$87</f>
        <v>0.18007252818770106</v>
      </c>
      <c r="AZ91" s="11"/>
      <c r="BA91" s="11"/>
      <c r="BB91" s="11"/>
      <c r="BC91" s="11"/>
      <c r="BD91" s="85">
        <f>BD85/BD$87</f>
        <v>0.15800105347672891</v>
      </c>
      <c r="BE91" s="11"/>
      <c r="BF91" s="11"/>
      <c r="BG91" s="11"/>
      <c r="BH91" s="11"/>
      <c r="BI91" s="85">
        <f>BI85/BI$87</f>
        <v>0.17690259024931729</v>
      </c>
      <c r="BJ91" s="11"/>
      <c r="BK91" s="11"/>
      <c r="BL91" s="11"/>
      <c r="BM91" s="11"/>
      <c r="BN91" s="85">
        <f>BN85/BN$87</f>
        <v>0.13789883914962472</v>
      </c>
      <c r="BO91" s="11"/>
      <c r="BP91" s="11"/>
      <c r="BQ91" s="11"/>
      <c r="BR91" s="11"/>
      <c r="BS91" s="85">
        <f>BS85/BS$87</f>
        <v>0.1405932422810538</v>
      </c>
      <c r="BT91" s="11"/>
      <c r="BU91" s="11"/>
      <c r="BV91" s="11"/>
      <c r="BW91" s="11"/>
      <c r="BX91" s="85">
        <f>BX85/BX$87</f>
        <v>0.14213625994365534</v>
      </c>
      <c r="BY91" s="11"/>
      <c r="BZ91" s="11"/>
      <c r="CA91" s="11"/>
      <c r="CB91" s="11"/>
      <c r="CC91" s="85">
        <f>CC85/CC$87</f>
        <v>0.13706204337416181</v>
      </c>
      <c r="CD91" s="11"/>
      <c r="CE91" s="11"/>
      <c r="CF91" s="11"/>
      <c r="CG91" s="11"/>
      <c r="CH91" s="85">
        <f>CH85/CH$87</f>
        <v>0.18928140628600085</v>
      </c>
      <c r="CI91" s="11"/>
      <c r="CJ91" s="11"/>
      <c r="CK91" s="11"/>
      <c r="CL91" s="11"/>
      <c r="CM91" s="85">
        <f>CM85/CM$87</f>
        <v>0.21543279477035579</v>
      </c>
      <c r="CN91" s="11"/>
      <c r="CO91" s="11"/>
      <c r="CP91" s="11"/>
      <c r="CQ91" s="11"/>
      <c r="CR91" s="85"/>
    </row>
    <row r="92" spans="1:96" ht="11.15" customHeight="1" x14ac:dyDescent="0.2">
      <c r="A92" s="7" t="s">
        <v>21</v>
      </c>
      <c r="B92" s="11"/>
      <c r="C92" s="11"/>
      <c r="D92" s="11"/>
      <c r="E92" s="11"/>
      <c r="F92" s="85">
        <f>F86/F$87</f>
        <v>6.3243637663246616E-2</v>
      </c>
      <c r="G92" s="11"/>
      <c r="H92" s="11"/>
      <c r="I92" s="11"/>
      <c r="J92" s="11"/>
      <c r="K92" s="85">
        <f>K86/K$87</f>
        <v>0.11100965030611186</v>
      </c>
      <c r="L92" s="11"/>
      <c r="M92" s="11"/>
      <c r="N92" s="11"/>
      <c r="O92" s="11"/>
      <c r="P92" s="85">
        <f>P86/P$87</f>
        <v>0.12718861209964413</v>
      </c>
      <c r="Q92" s="11"/>
      <c r="R92" s="11"/>
      <c r="S92" s="11"/>
      <c r="T92" s="11"/>
      <c r="U92" s="85">
        <f>U86/U$87</f>
        <v>0.13188904401010504</v>
      </c>
      <c r="V92" s="11"/>
      <c r="W92" s="11"/>
      <c r="X92" s="11"/>
      <c r="Y92" s="11"/>
      <c r="Z92" s="85">
        <f>Z86/Z$87</f>
        <v>0.20084116102567376</v>
      </c>
      <c r="AA92" s="11"/>
      <c r="AB92" s="11"/>
      <c r="AC92" s="11"/>
      <c r="AD92" s="11"/>
      <c r="AE92" s="85">
        <f>AE86/AE$87</f>
        <v>0.31740680876220906</v>
      </c>
      <c r="AF92" s="11"/>
      <c r="AG92" s="11"/>
      <c r="AH92" s="11"/>
      <c r="AI92" s="11"/>
      <c r="AJ92" s="85">
        <f>AJ86/AJ$87</f>
        <v>0.38167651999591634</v>
      </c>
      <c r="AK92" s="11"/>
      <c r="AL92" s="11"/>
      <c r="AM92" s="11"/>
      <c r="AN92" s="11"/>
      <c r="AO92" s="85">
        <f>AO86/AO$87</f>
        <v>0.36325549825631742</v>
      </c>
      <c r="AP92" s="11"/>
      <c r="AQ92" s="11"/>
      <c r="AR92" s="11"/>
      <c r="AS92" s="11"/>
      <c r="AT92" s="85">
        <f>AT86/AT$87</f>
        <v>0.27550873950227023</v>
      </c>
      <c r="AU92" s="11"/>
      <c r="AV92" s="11"/>
      <c r="AW92" s="11"/>
      <c r="AX92" s="11"/>
      <c r="AY92" s="85">
        <f>AY86/AY$87</f>
        <v>0.24634088248219504</v>
      </c>
      <c r="AZ92" s="11"/>
      <c r="BA92" s="11"/>
      <c r="BB92" s="11"/>
      <c r="BC92" s="11"/>
      <c r="BD92" s="85">
        <f>BD86/BD$87</f>
        <v>0.25359639567767706</v>
      </c>
      <c r="BE92" s="11"/>
      <c r="BF92" s="11"/>
      <c r="BG92" s="11"/>
      <c r="BH92" s="11"/>
      <c r="BI92" s="85">
        <f>BI86/BI$87</f>
        <v>0.2449720800077661</v>
      </c>
      <c r="BJ92" s="11"/>
      <c r="BK92" s="11"/>
      <c r="BL92" s="11"/>
      <c r="BM92" s="11"/>
      <c r="BN92" s="85">
        <f>BN86/BN$87</f>
        <v>0.23663071666437915</v>
      </c>
      <c r="BO92" s="11"/>
      <c r="BP92" s="11"/>
      <c r="BQ92" s="11"/>
      <c r="BR92" s="11"/>
      <c r="BS92" s="85">
        <f>BS86/BS$87</f>
        <v>0.26703993786005564</v>
      </c>
      <c r="BT92" s="11"/>
      <c r="BU92" s="11"/>
      <c r="BV92" s="11"/>
      <c r="BW92" s="11"/>
      <c r="BX92" s="85">
        <f>BX86/BX$87</f>
        <v>0.26566472968291421</v>
      </c>
      <c r="BY92" s="11"/>
      <c r="BZ92" s="11"/>
      <c r="CA92" s="11"/>
      <c r="CB92" s="11"/>
      <c r="CC92" s="85">
        <f>CC86/CC$87</f>
        <v>0.26205107280607887</v>
      </c>
      <c r="CD92" s="11"/>
      <c r="CE92" s="11"/>
      <c r="CF92" s="11"/>
      <c r="CG92" s="11"/>
      <c r="CH92" s="85">
        <f>CH86/CH$87</f>
        <v>0.15319755228169091</v>
      </c>
      <c r="CI92" s="11"/>
      <c r="CJ92" s="11"/>
      <c r="CK92" s="11"/>
      <c r="CL92" s="11"/>
      <c r="CM92" s="85">
        <f>CM86/CM$87</f>
        <v>0.15874355581915234</v>
      </c>
      <c r="CN92" s="11"/>
      <c r="CO92" s="11"/>
      <c r="CP92" s="11"/>
      <c r="CQ92" s="11"/>
      <c r="CR92" s="85"/>
    </row>
    <row r="93" spans="1:96" ht="11.15" customHeight="1" x14ac:dyDescent="0.2">
      <c r="A93" s="6" t="s">
        <v>214</v>
      </c>
      <c r="B93" s="12"/>
      <c r="C93" s="12"/>
      <c r="D93" s="12"/>
      <c r="E93" s="12"/>
      <c r="F93" s="87">
        <f>SUM(F90:F92)</f>
        <v>1</v>
      </c>
      <c r="G93" s="12"/>
      <c r="H93" s="12"/>
      <c r="I93" s="12"/>
      <c r="J93" s="12"/>
      <c r="K93" s="87">
        <f>SUM(K90:K92)</f>
        <v>1</v>
      </c>
      <c r="L93" s="12"/>
      <c r="M93" s="12"/>
      <c r="N93" s="12"/>
      <c r="O93" s="12"/>
      <c r="P93" s="87">
        <f>SUM(P90:P92)</f>
        <v>1</v>
      </c>
      <c r="Q93" s="12"/>
      <c r="R93" s="12"/>
      <c r="S93" s="12"/>
      <c r="T93" s="12"/>
      <c r="U93" s="87">
        <f>SUM(U90:U92)</f>
        <v>1</v>
      </c>
      <c r="V93" s="12"/>
      <c r="W93" s="12"/>
      <c r="X93" s="12"/>
      <c r="Y93" s="12"/>
      <c r="Z93" s="87">
        <f>SUM(Z90:Z92)</f>
        <v>1</v>
      </c>
      <c r="AA93" s="12"/>
      <c r="AB93" s="12"/>
      <c r="AC93" s="12"/>
      <c r="AD93" s="12"/>
      <c r="AE93" s="87">
        <f>SUM(AE90:AE92)</f>
        <v>1</v>
      </c>
      <c r="AF93" s="12"/>
      <c r="AG93" s="12"/>
      <c r="AH93" s="12"/>
      <c r="AI93" s="12"/>
      <c r="AJ93" s="87">
        <f>SUM(AJ90:AJ92)</f>
        <v>1</v>
      </c>
      <c r="AK93" s="12"/>
      <c r="AL93" s="12"/>
      <c r="AM93" s="12"/>
      <c r="AN93" s="12"/>
      <c r="AO93" s="87">
        <f>SUM(AO90:AO92)</f>
        <v>1</v>
      </c>
      <c r="AP93" s="12"/>
      <c r="AQ93" s="12"/>
      <c r="AR93" s="12"/>
      <c r="AS93" s="12"/>
      <c r="AT93" s="87">
        <f>SUM(AT90:AT92)</f>
        <v>1</v>
      </c>
      <c r="AU93" s="12"/>
      <c r="AV93" s="12"/>
      <c r="AW93" s="12"/>
      <c r="AX93" s="12"/>
      <c r="AY93" s="87">
        <f>SUM(AY90:AY92)</f>
        <v>1</v>
      </c>
      <c r="AZ93" s="12"/>
      <c r="BA93" s="12"/>
      <c r="BB93" s="12"/>
      <c r="BC93" s="12"/>
      <c r="BD93" s="87">
        <f>SUM(BD90:BD92)</f>
        <v>1</v>
      </c>
      <c r="BE93" s="12"/>
      <c r="BF93" s="12"/>
      <c r="BG93" s="12"/>
      <c r="BH93" s="12"/>
      <c r="BI93" s="87">
        <f>SUM(BI90:BI92)</f>
        <v>1</v>
      </c>
      <c r="BJ93" s="12"/>
      <c r="BK93" s="12"/>
      <c r="BL93" s="12"/>
      <c r="BM93" s="12"/>
      <c r="BN93" s="87">
        <f>SUM(BN90:BN92)</f>
        <v>1</v>
      </c>
      <c r="BO93" s="12"/>
      <c r="BP93" s="12"/>
      <c r="BQ93" s="12"/>
      <c r="BR93" s="12"/>
      <c r="BS93" s="87">
        <f>SUM(BS90:BS92)</f>
        <v>1</v>
      </c>
      <c r="BT93" s="12"/>
      <c r="BU93" s="12"/>
      <c r="BV93" s="12"/>
      <c r="BW93" s="12"/>
      <c r="BX93" s="87">
        <f>SUM(BX90:BX92)</f>
        <v>0.99999999999999989</v>
      </c>
      <c r="BY93" s="12"/>
      <c r="BZ93" s="12"/>
      <c r="CA93" s="12"/>
      <c r="CB93" s="12"/>
      <c r="CC93" s="87">
        <f>SUM(CC90:CC92)</f>
        <v>1</v>
      </c>
      <c r="CD93" s="12"/>
      <c r="CE93" s="12"/>
      <c r="CF93" s="12"/>
      <c r="CG93" s="12"/>
      <c r="CH93" s="87">
        <f>SUM(CH90:CH92)</f>
        <v>1</v>
      </c>
      <c r="CI93" s="12"/>
      <c r="CJ93" s="12"/>
      <c r="CK93" s="12"/>
      <c r="CL93" s="12"/>
      <c r="CM93" s="87">
        <f>SUM(CM90:CM92)</f>
        <v>1</v>
      </c>
      <c r="CN93" s="12"/>
      <c r="CO93" s="12"/>
      <c r="CP93" s="12"/>
      <c r="CQ93" s="12"/>
      <c r="CR93" s="87"/>
    </row>
    <row r="94" spans="1:96" ht="11.15" customHeight="1" x14ac:dyDescent="0.2">
      <c r="A94" s="6"/>
      <c r="B94" s="11"/>
      <c r="C94" s="11"/>
      <c r="D94" s="11"/>
      <c r="E94" s="11"/>
      <c r="F94" s="61"/>
      <c r="G94" s="11"/>
      <c r="H94" s="11"/>
      <c r="I94" s="11"/>
      <c r="J94" s="11"/>
      <c r="K94" s="61"/>
      <c r="L94" s="11"/>
      <c r="M94" s="11"/>
      <c r="N94" s="11"/>
      <c r="O94" s="11"/>
      <c r="P94" s="61"/>
      <c r="Q94" s="11"/>
      <c r="R94" s="11"/>
      <c r="S94" s="11"/>
      <c r="T94" s="11"/>
      <c r="U94" s="61"/>
      <c r="V94" s="11"/>
      <c r="W94" s="11"/>
      <c r="X94" s="11"/>
      <c r="Y94" s="11"/>
      <c r="Z94" s="61"/>
      <c r="AA94" s="11"/>
      <c r="AB94" s="11"/>
      <c r="AC94" s="11"/>
      <c r="AD94" s="11"/>
      <c r="AE94" s="61"/>
      <c r="AF94" s="11"/>
      <c r="AG94" s="11"/>
      <c r="AH94" s="11"/>
      <c r="AI94" s="11"/>
      <c r="AJ94" s="61"/>
      <c r="AK94" s="11"/>
      <c r="AL94" s="11"/>
      <c r="AM94" s="11"/>
      <c r="AN94" s="11"/>
      <c r="AO94" s="61"/>
      <c r="AP94" s="11"/>
      <c r="AQ94" s="11"/>
      <c r="AR94" s="11"/>
      <c r="AS94" s="11"/>
      <c r="AT94" s="61"/>
      <c r="AU94" s="11"/>
      <c r="AV94" s="11"/>
      <c r="AW94" s="11"/>
      <c r="AX94" s="11"/>
      <c r="AY94" s="61"/>
      <c r="AZ94" s="11"/>
      <c r="BA94" s="11"/>
      <c r="BB94" s="11"/>
      <c r="BC94" s="11"/>
      <c r="BD94" s="61"/>
      <c r="BE94" s="11"/>
      <c r="BF94" s="11"/>
      <c r="BG94" s="11"/>
      <c r="BH94" s="11"/>
      <c r="BI94" s="61"/>
      <c r="BJ94" s="11"/>
      <c r="BK94" s="11"/>
      <c r="BL94" s="11"/>
      <c r="BM94" s="11"/>
      <c r="BN94" s="61"/>
      <c r="BO94" s="11"/>
      <c r="BP94" s="11"/>
      <c r="BQ94" s="11"/>
      <c r="BR94" s="11"/>
      <c r="BS94" s="61"/>
      <c r="BT94" s="11"/>
      <c r="BU94" s="11"/>
      <c r="BV94" s="11"/>
      <c r="BW94" s="11"/>
      <c r="BX94" s="61"/>
      <c r="BY94" s="11"/>
      <c r="BZ94" s="11"/>
      <c r="CA94" s="11"/>
      <c r="CB94" s="11"/>
      <c r="CC94" s="61"/>
      <c r="CD94" s="11"/>
      <c r="CE94" s="11"/>
      <c r="CF94" s="11"/>
      <c r="CG94" s="11"/>
      <c r="CH94" s="61"/>
      <c r="CI94" s="11"/>
      <c r="CJ94" s="11"/>
      <c r="CK94" s="11"/>
      <c r="CL94" s="11"/>
      <c r="CM94" s="61"/>
      <c r="CN94" s="11"/>
      <c r="CO94" s="11"/>
      <c r="CP94" s="11"/>
      <c r="CQ94" s="11"/>
      <c r="CR94" s="61"/>
    </row>
    <row r="95" spans="1:96" s="2" customFormat="1" ht="11.15" customHeight="1" x14ac:dyDescent="0.25">
      <c r="A95" s="35" t="s">
        <v>151</v>
      </c>
      <c r="B95" s="4"/>
      <c r="C95" s="4"/>
      <c r="D95" s="5"/>
      <c r="E95" s="5"/>
      <c r="F95" s="69"/>
      <c r="G95" s="4"/>
      <c r="H95" s="4"/>
      <c r="I95" s="5"/>
      <c r="J95" s="5"/>
      <c r="K95" s="69"/>
      <c r="L95" s="4"/>
      <c r="M95" s="4"/>
      <c r="N95" s="5"/>
      <c r="O95" s="5"/>
      <c r="P95" s="69"/>
      <c r="Q95" s="4"/>
      <c r="R95" s="4"/>
      <c r="S95" s="5"/>
      <c r="T95" s="5"/>
      <c r="U95" s="69"/>
      <c r="V95" s="4"/>
      <c r="W95" s="4"/>
      <c r="X95" s="5"/>
      <c r="Y95" s="5"/>
      <c r="Z95" s="69"/>
      <c r="AA95" s="4"/>
      <c r="AB95" s="4"/>
      <c r="AC95" s="5"/>
      <c r="AD95" s="5"/>
      <c r="AE95" s="69"/>
      <c r="AF95" s="4"/>
      <c r="AG95" s="4"/>
      <c r="AH95" s="5"/>
      <c r="AI95" s="5"/>
      <c r="AJ95" s="69"/>
      <c r="AK95" s="4"/>
      <c r="AL95" s="4"/>
      <c r="AM95" s="5"/>
      <c r="AN95" s="5"/>
      <c r="AO95" s="69"/>
      <c r="AP95" s="4"/>
      <c r="AQ95" s="4"/>
      <c r="AR95" s="5"/>
      <c r="AS95" s="5"/>
      <c r="AT95" s="69"/>
      <c r="AU95" s="32"/>
      <c r="AV95" s="32"/>
      <c r="AW95" s="5"/>
      <c r="AX95" s="5"/>
      <c r="AY95" s="69"/>
      <c r="AZ95" s="11"/>
      <c r="BA95" s="11"/>
      <c r="BB95" s="11"/>
      <c r="BC95" s="11"/>
      <c r="BD95" s="69"/>
      <c r="BE95" s="11"/>
      <c r="BF95" s="11"/>
      <c r="BG95" s="5"/>
      <c r="BH95" s="5"/>
      <c r="BI95" s="69"/>
      <c r="BJ95" s="11"/>
      <c r="BK95" s="11"/>
      <c r="BL95" s="5"/>
      <c r="BM95" s="5"/>
      <c r="BN95" s="69"/>
      <c r="BO95" s="11"/>
      <c r="BP95" s="11"/>
      <c r="BQ95" s="5"/>
      <c r="BR95" s="5"/>
      <c r="BS95" s="69"/>
      <c r="BT95" s="11"/>
      <c r="BU95" s="11"/>
      <c r="BV95" s="5"/>
      <c r="BW95" s="5"/>
      <c r="BX95" s="69"/>
      <c r="BY95" s="11"/>
      <c r="BZ95" s="11"/>
      <c r="CA95" s="11"/>
      <c r="CB95" s="5"/>
      <c r="CC95" s="69"/>
      <c r="CD95" s="11"/>
      <c r="CE95" s="11"/>
      <c r="CF95" s="11"/>
      <c r="CG95" s="5"/>
      <c r="CH95" s="69"/>
      <c r="CI95" s="11"/>
      <c r="CJ95" s="11"/>
      <c r="CK95" s="11"/>
      <c r="CL95" s="5"/>
      <c r="CM95" s="69"/>
      <c r="CN95" s="11"/>
      <c r="CO95" s="11"/>
      <c r="CP95" s="11"/>
      <c r="CQ95" s="5"/>
      <c r="CR95" s="69"/>
    </row>
    <row r="96" spans="1:96" ht="11.15" customHeight="1" x14ac:dyDescent="0.2">
      <c r="A96" s="7" t="s">
        <v>12</v>
      </c>
      <c r="B96" s="11"/>
      <c r="C96" s="11"/>
      <c r="D96" s="11"/>
      <c r="E96" s="11"/>
      <c r="F96" s="65">
        <v>46</v>
      </c>
      <c r="G96" s="11"/>
      <c r="H96" s="11"/>
      <c r="I96" s="11"/>
      <c r="J96" s="11"/>
      <c r="K96" s="65">
        <v>69</v>
      </c>
      <c r="L96" s="11"/>
      <c r="M96" s="11"/>
      <c r="N96" s="11"/>
      <c r="O96" s="11"/>
      <c r="P96" s="65">
        <v>135</v>
      </c>
      <c r="Q96" s="11"/>
      <c r="R96" s="11"/>
      <c r="S96" s="11"/>
      <c r="T96" s="11"/>
      <c r="U96" s="65">
        <v>139</v>
      </c>
      <c r="V96" s="11"/>
      <c r="W96" s="11"/>
      <c r="X96" s="11"/>
      <c r="Y96" s="11"/>
      <c r="Z96" s="65">
        <v>146</v>
      </c>
      <c r="AA96" s="11"/>
      <c r="AB96" s="11"/>
      <c r="AC96" s="11"/>
      <c r="AD96" s="11"/>
      <c r="AE96" s="65">
        <v>185</v>
      </c>
      <c r="AF96" s="11"/>
      <c r="AG96" s="11"/>
      <c r="AH96" s="11"/>
      <c r="AI96" s="11"/>
      <c r="AJ96" s="65">
        <v>263</v>
      </c>
      <c r="AK96" s="11"/>
      <c r="AL96" s="11"/>
      <c r="AM96" s="11"/>
      <c r="AN96" s="11"/>
      <c r="AO96" s="65">
        <v>269</v>
      </c>
      <c r="AP96" s="11"/>
      <c r="AQ96" s="11"/>
      <c r="AR96" s="11"/>
      <c r="AS96" s="11"/>
      <c r="AT96" s="65">
        <v>329</v>
      </c>
      <c r="AU96" s="11"/>
      <c r="AV96" s="11"/>
      <c r="AW96" s="11"/>
      <c r="AX96" s="11"/>
      <c r="AY96" s="65">
        <v>411</v>
      </c>
      <c r="AZ96" s="11"/>
      <c r="BA96" s="11"/>
      <c r="BB96" s="11"/>
      <c r="BC96" s="11"/>
      <c r="BD96" s="65">
        <v>473</v>
      </c>
      <c r="BE96" s="11"/>
      <c r="BF96" s="11"/>
      <c r="BG96" s="11"/>
      <c r="BH96" s="11"/>
      <c r="BI96" s="65">
        <v>556</v>
      </c>
      <c r="BJ96" s="11"/>
      <c r="BK96" s="11"/>
      <c r="BL96" s="11"/>
      <c r="BM96" s="11"/>
      <c r="BN96" s="65">
        <v>697</v>
      </c>
      <c r="BO96" s="11"/>
      <c r="BP96" s="11"/>
      <c r="BQ96" s="11"/>
      <c r="BR96" s="11"/>
      <c r="BS96" s="65">
        <v>665</v>
      </c>
      <c r="BT96" s="11"/>
      <c r="BU96" s="11"/>
      <c r="BV96" s="11"/>
      <c r="BW96" s="11"/>
      <c r="BX96" s="65">
        <v>660</v>
      </c>
      <c r="BY96" s="11"/>
      <c r="BZ96" s="11"/>
      <c r="CA96" s="11"/>
      <c r="CB96" s="11"/>
      <c r="CC96" s="65">
        <v>676</v>
      </c>
      <c r="CD96" s="11"/>
      <c r="CE96" s="11"/>
      <c r="CF96" s="11"/>
      <c r="CG96" s="11"/>
      <c r="CH96" s="65">
        <v>500</v>
      </c>
      <c r="CI96" s="11"/>
      <c r="CJ96" s="11"/>
      <c r="CK96" s="11"/>
      <c r="CL96" s="11"/>
      <c r="CM96" s="65">
        <v>590</v>
      </c>
      <c r="CN96" s="11"/>
      <c r="CO96" s="11"/>
      <c r="CP96" s="11"/>
      <c r="CQ96" s="11"/>
      <c r="CR96" s="65"/>
    </row>
    <row r="97" spans="1:96" ht="11.15" customHeight="1" x14ac:dyDescent="0.2">
      <c r="A97" s="7" t="s">
        <v>109</v>
      </c>
      <c r="B97" s="11"/>
      <c r="C97" s="11"/>
      <c r="D97" s="11"/>
      <c r="E97" s="11"/>
      <c r="F97" s="65">
        <v>886</v>
      </c>
      <c r="G97" s="11"/>
      <c r="H97" s="11"/>
      <c r="I97" s="11"/>
      <c r="J97" s="11"/>
      <c r="K97" s="65">
        <v>1062</v>
      </c>
      <c r="L97" s="11"/>
      <c r="M97" s="11"/>
      <c r="N97" s="11"/>
      <c r="O97" s="11"/>
      <c r="P97" s="65">
        <v>1101</v>
      </c>
      <c r="Q97" s="11"/>
      <c r="R97" s="11"/>
      <c r="S97" s="11"/>
      <c r="T97" s="11"/>
      <c r="U97" s="65">
        <v>1091</v>
      </c>
      <c r="V97" s="11"/>
      <c r="W97" s="11"/>
      <c r="X97" s="11"/>
      <c r="Y97" s="11"/>
      <c r="Z97" s="65">
        <f>1362+49</f>
        <v>1411</v>
      </c>
      <c r="AA97" s="11"/>
      <c r="AB97" s="11"/>
      <c r="AC97" s="11"/>
      <c r="AD97" s="11"/>
      <c r="AE97" s="65">
        <f>1686+115</f>
        <v>1801</v>
      </c>
      <c r="AF97" s="11"/>
      <c r="AG97" s="11"/>
      <c r="AH97" s="11"/>
      <c r="AI97" s="11"/>
      <c r="AJ97" s="65">
        <f>1836+161</f>
        <v>1997</v>
      </c>
      <c r="AK97" s="11"/>
      <c r="AL97" s="11"/>
      <c r="AM97" s="11"/>
      <c r="AN97" s="11"/>
      <c r="AO97" s="65">
        <f>2198+191</f>
        <v>2389</v>
      </c>
      <c r="AP97" s="11"/>
      <c r="AQ97" s="11"/>
      <c r="AR97" s="11"/>
      <c r="AS97" s="11"/>
      <c r="AT97" s="65">
        <f>2338+220</f>
        <v>2558</v>
      </c>
      <c r="AU97" s="11"/>
      <c r="AV97" s="11"/>
      <c r="AW97" s="11"/>
      <c r="AX97" s="11"/>
      <c r="AY97" s="65">
        <f>2934+279</f>
        <v>3213</v>
      </c>
      <c r="AZ97" s="11"/>
      <c r="BA97" s="11"/>
      <c r="BB97" s="11"/>
      <c r="BC97" s="11"/>
      <c r="BD97" s="65">
        <f>3296+281</f>
        <v>3577</v>
      </c>
      <c r="BE97" s="11"/>
      <c r="BF97" s="11"/>
      <c r="BG97" s="11"/>
      <c r="BH97" s="11"/>
      <c r="BI97" s="65">
        <f>3898+363</f>
        <v>4261</v>
      </c>
      <c r="BJ97" s="11"/>
      <c r="BK97" s="11"/>
      <c r="BL97" s="11"/>
      <c r="BM97" s="11"/>
      <c r="BN97" s="65">
        <f>4530+245</f>
        <v>4775</v>
      </c>
      <c r="BO97" s="11"/>
      <c r="BP97" s="11"/>
      <c r="BQ97" s="11"/>
      <c r="BR97" s="11"/>
      <c r="BS97" s="65">
        <v>4567</v>
      </c>
      <c r="BT97" s="11"/>
      <c r="BU97" s="11"/>
      <c r="BV97" s="11"/>
      <c r="BW97" s="11"/>
      <c r="BX97" s="65">
        <v>4728</v>
      </c>
      <c r="BY97" s="11"/>
      <c r="BZ97" s="11"/>
      <c r="CA97" s="11"/>
      <c r="CB97" s="11"/>
      <c r="CC97" s="65">
        <v>5062</v>
      </c>
      <c r="CD97" s="11"/>
      <c r="CE97" s="11"/>
      <c r="CF97" s="11"/>
      <c r="CG97" s="11"/>
      <c r="CH97" s="65">
        <v>4950</v>
      </c>
      <c r="CI97" s="11"/>
      <c r="CJ97" s="11"/>
      <c r="CK97" s="11"/>
      <c r="CL97" s="11"/>
      <c r="CM97" s="65">
        <v>4720</v>
      </c>
      <c r="CN97" s="11"/>
      <c r="CO97" s="11"/>
      <c r="CP97" s="11"/>
      <c r="CQ97" s="11"/>
      <c r="CR97" s="65"/>
    </row>
    <row r="98" spans="1:96" ht="11.15" customHeight="1" x14ac:dyDescent="0.2">
      <c r="A98" s="7" t="s">
        <v>110</v>
      </c>
      <c r="B98" s="11"/>
      <c r="C98" s="11"/>
      <c r="D98" s="11"/>
      <c r="E98" s="11"/>
      <c r="F98" s="65">
        <v>35</v>
      </c>
      <c r="G98" s="11"/>
      <c r="H98" s="11"/>
      <c r="I98" s="11"/>
      <c r="J98" s="11"/>
      <c r="K98" s="65">
        <v>47</v>
      </c>
      <c r="L98" s="11"/>
      <c r="M98" s="11"/>
      <c r="N98" s="11"/>
      <c r="O98" s="11"/>
      <c r="P98" s="65">
        <v>62</v>
      </c>
      <c r="Q98" s="11"/>
      <c r="R98" s="11"/>
      <c r="S98" s="11"/>
      <c r="T98" s="11"/>
      <c r="U98" s="65">
        <v>71</v>
      </c>
      <c r="V98" s="11"/>
      <c r="W98" s="11"/>
      <c r="X98" s="11"/>
      <c r="Y98" s="11"/>
      <c r="Z98" s="65">
        <v>87</v>
      </c>
      <c r="AA98" s="11"/>
      <c r="AB98" s="11"/>
      <c r="AC98" s="11"/>
      <c r="AD98" s="11"/>
      <c r="AE98" s="65">
        <v>89</v>
      </c>
      <c r="AF98" s="11"/>
      <c r="AG98" s="11"/>
      <c r="AH98" s="11"/>
      <c r="AI98" s="11"/>
      <c r="AJ98" s="65">
        <v>109</v>
      </c>
      <c r="AK98" s="11"/>
      <c r="AL98" s="11"/>
      <c r="AM98" s="11"/>
      <c r="AN98" s="11"/>
      <c r="AO98" s="65">
        <v>121</v>
      </c>
      <c r="AP98" s="11"/>
      <c r="AQ98" s="11"/>
      <c r="AR98" s="11"/>
      <c r="AS98" s="11"/>
      <c r="AT98" s="65">
        <v>145</v>
      </c>
      <c r="AU98" s="11"/>
      <c r="AV98" s="11"/>
      <c r="AW98" s="11"/>
      <c r="AX98" s="11"/>
      <c r="AY98" s="65">
        <v>148</v>
      </c>
      <c r="AZ98" s="11"/>
      <c r="BA98" s="11"/>
      <c r="BB98" s="11"/>
      <c r="BC98" s="11"/>
      <c r="BD98" s="65">
        <v>190</v>
      </c>
      <c r="BE98" s="11"/>
      <c r="BF98" s="11"/>
      <c r="BG98" s="11"/>
      <c r="BH98" s="11"/>
      <c r="BI98" s="65">
        <v>240</v>
      </c>
      <c r="BJ98" s="11"/>
      <c r="BK98" s="11"/>
      <c r="BL98" s="11"/>
      <c r="BM98" s="11"/>
      <c r="BN98" s="65">
        <v>331</v>
      </c>
      <c r="BO98" s="11"/>
      <c r="BP98" s="11"/>
      <c r="BQ98" s="11"/>
      <c r="BR98" s="11"/>
      <c r="BS98" s="65">
        <v>353</v>
      </c>
      <c r="BT98" s="11"/>
      <c r="BU98" s="11"/>
      <c r="BV98" s="11"/>
      <c r="BW98" s="11"/>
      <c r="BX98" s="65">
        <v>345</v>
      </c>
      <c r="BY98" s="11"/>
      <c r="BZ98" s="11"/>
      <c r="CA98" s="11"/>
      <c r="CB98" s="11"/>
      <c r="CC98" s="65">
        <v>330</v>
      </c>
      <c r="CD98" s="11"/>
      <c r="CE98" s="11"/>
      <c r="CF98" s="11"/>
      <c r="CG98" s="11"/>
      <c r="CH98" s="65">
        <v>340</v>
      </c>
      <c r="CI98" s="11"/>
      <c r="CJ98" s="11"/>
      <c r="CK98" s="11"/>
      <c r="CL98" s="11"/>
      <c r="CM98" s="65">
        <v>380</v>
      </c>
      <c r="CN98" s="11"/>
      <c r="CO98" s="11"/>
      <c r="CP98" s="11"/>
      <c r="CQ98" s="11"/>
      <c r="CR98" s="65"/>
    </row>
    <row r="99" spans="1:96" ht="11.15" customHeight="1" x14ac:dyDescent="0.2">
      <c r="A99" s="7" t="s">
        <v>23</v>
      </c>
      <c r="B99" s="11"/>
      <c r="C99" s="11"/>
      <c r="D99" s="11"/>
      <c r="E99" s="11"/>
      <c r="F99" s="65">
        <v>80</v>
      </c>
      <c r="G99" s="11"/>
      <c r="H99" s="11"/>
      <c r="I99" s="11"/>
      <c r="J99" s="11"/>
      <c r="K99" s="65">
        <v>129</v>
      </c>
      <c r="L99" s="11"/>
      <c r="M99" s="11"/>
      <c r="N99" s="11"/>
      <c r="O99" s="11"/>
      <c r="P99" s="65">
        <v>136</v>
      </c>
      <c r="Q99" s="11"/>
      <c r="R99" s="11"/>
      <c r="S99" s="11"/>
      <c r="T99" s="11"/>
      <c r="U99" s="65">
        <v>131</v>
      </c>
      <c r="V99" s="11"/>
      <c r="W99" s="11"/>
      <c r="X99" s="11"/>
      <c r="Y99" s="11"/>
      <c r="Z99" s="65">
        <v>151</v>
      </c>
      <c r="AA99" s="11"/>
      <c r="AB99" s="11"/>
      <c r="AC99" s="11"/>
      <c r="AD99" s="11"/>
      <c r="AE99" s="65">
        <v>188</v>
      </c>
      <c r="AF99" s="11"/>
      <c r="AG99" s="11"/>
      <c r="AH99" s="11"/>
      <c r="AI99" s="11"/>
      <c r="AJ99" s="65">
        <v>193</v>
      </c>
      <c r="AK99" s="11"/>
      <c r="AL99" s="11"/>
      <c r="AM99" s="11"/>
      <c r="AN99" s="11"/>
      <c r="AO99" s="65">
        <v>207</v>
      </c>
      <c r="AP99" s="11"/>
      <c r="AQ99" s="11"/>
      <c r="AR99" s="11"/>
      <c r="AS99" s="11"/>
      <c r="AT99" s="65">
        <v>231</v>
      </c>
      <c r="AU99" s="11"/>
      <c r="AV99" s="11"/>
      <c r="AW99" s="11"/>
      <c r="AX99" s="11"/>
      <c r="AY99" s="65">
        <v>249</v>
      </c>
      <c r="AZ99" s="11"/>
      <c r="BA99" s="11"/>
      <c r="BB99" s="11"/>
      <c r="BC99" s="11"/>
      <c r="BD99" s="65">
        <v>271</v>
      </c>
      <c r="BE99" s="11"/>
      <c r="BF99" s="11"/>
      <c r="BG99" s="11"/>
      <c r="BH99" s="11"/>
      <c r="BI99" s="65">
        <v>332</v>
      </c>
      <c r="BJ99" s="11"/>
      <c r="BK99" s="11"/>
      <c r="BL99" s="11"/>
      <c r="BM99" s="11"/>
      <c r="BN99" s="65">
        <v>428</v>
      </c>
      <c r="BO99" s="11"/>
      <c r="BP99" s="11"/>
      <c r="BQ99" s="11"/>
      <c r="BR99" s="11"/>
      <c r="BS99" s="65">
        <v>449</v>
      </c>
      <c r="BT99" s="11"/>
      <c r="BU99" s="11"/>
      <c r="BV99" s="11"/>
      <c r="BW99" s="11"/>
      <c r="BX99" s="65">
        <v>483</v>
      </c>
      <c r="BY99" s="11"/>
      <c r="BZ99" s="11"/>
      <c r="CA99" s="11"/>
      <c r="CB99" s="11"/>
      <c r="CC99" s="65">
        <v>455</v>
      </c>
      <c r="CD99" s="11"/>
      <c r="CE99" s="11"/>
      <c r="CF99" s="11"/>
      <c r="CG99" s="11"/>
      <c r="CH99" s="65">
        <v>440</v>
      </c>
      <c r="CI99" s="11"/>
      <c r="CJ99" s="11"/>
      <c r="CK99" s="11"/>
      <c r="CL99" s="11"/>
      <c r="CM99" s="65">
        <v>490</v>
      </c>
      <c r="CN99" s="11"/>
      <c r="CO99" s="11"/>
      <c r="CP99" s="11"/>
      <c r="CQ99" s="11"/>
      <c r="CR99" s="65"/>
    </row>
    <row r="100" spans="1:96" ht="11.15" customHeight="1" x14ac:dyDescent="0.2">
      <c r="A100" s="6" t="s">
        <v>233</v>
      </c>
      <c r="B100" s="12"/>
      <c r="C100" s="12"/>
      <c r="D100" s="12"/>
      <c r="E100" s="12"/>
      <c r="F100" s="60">
        <f>SUM(F96:F99)</f>
        <v>1047</v>
      </c>
      <c r="G100" s="12"/>
      <c r="H100" s="12"/>
      <c r="I100" s="12"/>
      <c r="J100" s="12"/>
      <c r="K100" s="60">
        <f>SUM(K96:K99)</f>
        <v>1307</v>
      </c>
      <c r="L100" s="12"/>
      <c r="M100" s="12"/>
      <c r="N100" s="12"/>
      <c r="O100" s="12"/>
      <c r="P100" s="60">
        <f>SUM(P96:P99)</f>
        <v>1434</v>
      </c>
      <c r="Q100" s="12"/>
      <c r="R100" s="12"/>
      <c r="S100" s="12"/>
      <c r="T100" s="12"/>
      <c r="U100" s="60">
        <f>SUM(U96:U99)</f>
        <v>1432</v>
      </c>
      <c r="V100" s="12"/>
      <c r="W100" s="12"/>
      <c r="X100" s="12"/>
      <c r="Y100" s="12"/>
      <c r="Z100" s="60">
        <f>SUM(Z96:Z99)</f>
        <v>1795</v>
      </c>
      <c r="AA100" s="12"/>
      <c r="AB100" s="12"/>
      <c r="AC100" s="12"/>
      <c r="AD100" s="12"/>
      <c r="AE100" s="60">
        <f>SUM(AE96:AE99)</f>
        <v>2263</v>
      </c>
      <c r="AF100" s="12"/>
      <c r="AG100" s="12"/>
      <c r="AH100" s="12"/>
      <c r="AI100" s="12"/>
      <c r="AJ100" s="60">
        <f>SUM(AJ96:AJ99)</f>
        <v>2562</v>
      </c>
      <c r="AK100" s="12"/>
      <c r="AL100" s="12"/>
      <c r="AM100" s="12"/>
      <c r="AN100" s="12"/>
      <c r="AO100" s="60">
        <f>SUM(AO96:AO99)</f>
        <v>2986</v>
      </c>
      <c r="AP100" s="12"/>
      <c r="AQ100" s="12"/>
      <c r="AR100" s="12"/>
      <c r="AS100" s="12"/>
      <c r="AT100" s="60">
        <f>SUM(AT96:AT99)</f>
        <v>3263</v>
      </c>
      <c r="AU100" s="12"/>
      <c r="AV100" s="12"/>
      <c r="AW100" s="12"/>
      <c r="AX100" s="12"/>
      <c r="AY100" s="60">
        <f>SUM(AY96:AY99)</f>
        <v>4021</v>
      </c>
      <c r="AZ100" s="12"/>
      <c r="BA100" s="12"/>
      <c r="BB100" s="12"/>
      <c r="BC100" s="12"/>
      <c r="BD100" s="60">
        <f>SUM(BD96:BD99)</f>
        <v>4511</v>
      </c>
      <c r="BE100" s="12"/>
      <c r="BF100" s="12"/>
      <c r="BG100" s="12"/>
      <c r="BH100" s="12"/>
      <c r="BI100" s="60">
        <f>SUM(BI96:BI99)</f>
        <v>5389</v>
      </c>
      <c r="BJ100" s="12"/>
      <c r="BK100" s="12"/>
      <c r="BL100" s="12"/>
      <c r="BM100" s="12"/>
      <c r="BN100" s="60">
        <f>SUM(BN96:BN99)</f>
        <v>6231</v>
      </c>
      <c r="BO100" s="12"/>
      <c r="BP100" s="12"/>
      <c r="BQ100" s="12"/>
      <c r="BR100" s="12"/>
      <c r="BS100" s="60">
        <f>SUM(BS96:BS99)</f>
        <v>6034</v>
      </c>
      <c r="BT100" s="12"/>
      <c r="BU100" s="12"/>
      <c r="BV100" s="12"/>
      <c r="BW100" s="12"/>
      <c r="BX100" s="60">
        <f>SUM(BX96:BX99)</f>
        <v>6216</v>
      </c>
      <c r="BY100" s="12"/>
      <c r="BZ100" s="12"/>
      <c r="CA100" s="12"/>
      <c r="CB100" s="12"/>
      <c r="CC100" s="60">
        <f>SUM(CC96:CC99)</f>
        <v>6523</v>
      </c>
      <c r="CD100" s="12"/>
      <c r="CE100" s="12"/>
      <c r="CF100" s="12"/>
      <c r="CG100" s="12"/>
      <c r="CH100" s="60">
        <f>SUM(CH96:CH99)</f>
        <v>6230</v>
      </c>
      <c r="CI100" s="12"/>
      <c r="CJ100" s="12"/>
      <c r="CK100" s="12"/>
      <c r="CL100" s="12"/>
      <c r="CM100" s="60">
        <f>SUM(CM96:CM99)</f>
        <v>6180</v>
      </c>
      <c r="CN100" s="12"/>
      <c r="CO100" s="12"/>
      <c r="CP100" s="12"/>
      <c r="CQ100" s="12"/>
      <c r="CR100" s="60"/>
    </row>
    <row r="101" spans="1:96" ht="11.15" customHeight="1" x14ac:dyDescent="0.2">
      <c r="A101" s="6"/>
      <c r="B101" s="11"/>
      <c r="C101" s="11"/>
      <c r="D101" s="11"/>
      <c r="E101" s="11"/>
      <c r="F101" s="61"/>
      <c r="G101" s="11"/>
      <c r="H101" s="11"/>
      <c r="I101" s="11"/>
      <c r="J101" s="11"/>
      <c r="K101" s="61"/>
      <c r="L101" s="11"/>
      <c r="M101" s="11"/>
      <c r="N101" s="11"/>
      <c r="O101" s="11"/>
      <c r="P101" s="61"/>
      <c r="Q101" s="11"/>
      <c r="R101" s="11"/>
      <c r="S101" s="11"/>
      <c r="T101" s="11"/>
      <c r="U101" s="61"/>
      <c r="V101" s="11"/>
      <c r="W101" s="11"/>
      <c r="X101" s="11"/>
      <c r="Y101" s="11"/>
      <c r="Z101" s="61"/>
      <c r="AA101" s="11"/>
      <c r="AB101" s="11"/>
      <c r="AC101" s="11"/>
      <c r="AD101" s="11"/>
      <c r="AE101" s="61"/>
      <c r="AF101" s="11"/>
      <c r="AG101" s="11"/>
      <c r="AH101" s="11"/>
      <c r="AI101" s="11"/>
      <c r="AJ101" s="61"/>
      <c r="AK101" s="11"/>
      <c r="AL101" s="11"/>
      <c r="AM101" s="11"/>
      <c r="AN101" s="11"/>
      <c r="AO101" s="61"/>
      <c r="AP101" s="11"/>
      <c r="AQ101" s="11"/>
      <c r="AR101" s="11"/>
      <c r="AS101" s="11"/>
      <c r="AT101" s="61"/>
      <c r="AU101" s="11"/>
      <c r="AV101" s="11"/>
      <c r="AW101" s="11"/>
      <c r="AX101" s="11"/>
      <c r="AY101" s="61"/>
      <c r="AZ101" s="11"/>
      <c r="BA101" s="11"/>
      <c r="BB101" s="11"/>
      <c r="BC101" s="11"/>
      <c r="BD101" s="61"/>
      <c r="BE101" s="11"/>
      <c r="BF101" s="11"/>
      <c r="BG101" s="11"/>
      <c r="BH101" s="11"/>
      <c r="BI101" s="61"/>
      <c r="BJ101" s="11"/>
      <c r="BK101" s="11"/>
      <c r="BL101" s="11"/>
      <c r="BM101" s="11"/>
      <c r="BN101" s="61"/>
      <c r="BO101" s="11"/>
      <c r="BP101" s="11"/>
      <c r="BQ101" s="11"/>
      <c r="BR101" s="11"/>
      <c r="BS101" s="61"/>
      <c r="BT101" s="11"/>
      <c r="BU101" s="11"/>
      <c r="BV101" s="11"/>
      <c r="BW101" s="11"/>
      <c r="BX101" s="61"/>
      <c r="BY101" s="11"/>
      <c r="BZ101" s="11"/>
      <c r="CA101" s="11"/>
      <c r="CB101" s="11"/>
      <c r="CC101" s="61"/>
      <c r="CD101" s="11"/>
      <c r="CE101" s="11"/>
      <c r="CF101" s="11"/>
      <c r="CG101" s="11"/>
      <c r="CH101" s="61"/>
      <c r="CI101" s="11"/>
      <c r="CJ101" s="11"/>
      <c r="CK101" s="11"/>
      <c r="CL101" s="11"/>
      <c r="CM101" s="61"/>
      <c r="CN101" s="11"/>
      <c r="CO101" s="11"/>
      <c r="CP101" s="11"/>
      <c r="CQ101" s="11"/>
      <c r="CR101" s="61"/>
    </row>
    <row r="102" spans="1:96" s="2" customFormat="1" ht="11.15" customHeight="1" x14ac:dyDescent="0.25">
      <c r="A102" s="35" t="s">
        <v>152</v>
      </c>
      <c r="B102" s="4"/>
      <c r="C102" s="4"/>
      <c r="D102" s="5"/>
      <c r="E102" s="5"/>
      <c r="F102" s="69"/>
      <c r="G102" s="4"/>
      <c r="H102" s="4"/>
      <c r="I102" s="5"/>
      <c r="J102" s="5"/>
      <c r="K102" s="69"/>
      <c r="L102" s="4"/>
      <c r="M102" s="4"/>
      <c r="N102" s="5"/>
      <c r="O102" s="5"/>
      <c r="P102" s="69"/>
      <c r="Q102" s="4"/>
      <c r="R102" s="4"/>
      <c r="S102" s="5"/>
      <c r="T102" s="5"/>
      <c r="U102" s="69"/>
      <c r="V102" s="4"/>
      <c r="W102" s="4"/>
      <c r="X102" s="5"/>
      <c r="Y102" s="5"/>
      <c r="Z102" s="69"/>
      <c r="AA102" s="4"/>
      <c r="AB102" s="4"/>
      <c r="AC102" s="5"/>
      <c r="AD102" s="5"/>
      <c r="AE102" s="69"/>
      <c r="AF102" s="4"/>
      <c r="AG102" s="4"/>
      <c r="AH102" s="5"/>
      <c r="AI102" s="5"/>
      <c r="AJ102" s="69"/>
      <c r="AK102" s="4"/>
      <c r="AL102" s="4"/>
      <c r="AM102" s="5"/>
      <c r="AN102" s="5"/>
      <c r="AO102" s="69"/>
      <c r="AP102" s="4"/>
      <c r="AQ102" s="4"/>
      <c r="AR102" s="5"/>
      <c r="AS102" s="5"/>
      <c r="AT102" s="69"/>
      <c r="AU102" s="32"/>
      <c r="AV102" s="32"/>
      <c r="AW102" s="5"/>
      <c r="AX102" s="5"/>
      <c r="AY102" s="69"/>
      <c r="AZ102" s="11"/>
      <c r="BA102" s="11"/>
      <c r="BB102" s="11"/>
      <c r="BC102" s="11"/>
      <c r="BD102" s="69"/>
      <c r="BE102" s="11"/>
      <c r="BF102" s="11"/>
      <c r="BG102" s="5"/>
      <c r="BH102" s="5"/>
      <c r="BI102" s="69"/>
      <c r="BJ102" s="11"/>
      <c r="BK102" s="11"/>
      <c r="BL102" s="5"/>
      <c r="BM102" s="5"/>
      <c r="BN102" s="69"/>
      <c r="BO102" s="11"/>
      <c r="BP102" s="11"/>
      <c r="BQ102" s="5"/>
      <c r="BR102" s="5"/>
      <c r="BS102" s="69"/>
      <c r="BT102" s="11"/>
      <c r="BU102" s="11"/>
      <c r="BV102" s="5"/>
      <c r="BW102" s="5"/>
      <c r="BX102" s="69"/>
      <c r="BY102" s="11"/>
      <c r="BZ102" s="11"/>
      <c r="CA102" s="11"/>
      <c r="CB102" s="5"/>
      <c r="CC102" s="69"/>
      <c r="CD102" s="11"/>
      <c r="CE102" s="11"/>
      <c r="CF102" s="11"/>
      <c r="CG102" s="5"/>
      <c r="CH102" s="69"/>
      <c r="CI102" s="11"/>
      <c r="CJ102" s="11"/>
      <c r="CK102" s="11"/>
      <c r="CL102" s="5"/>
      <c r="CM102" s="69"/>
      <c r="CN102" s="11"/>
      <c r="CO102" s="11"/>
      <c r="CP102" s="11"/>
      <c r="CQ102" s="5"/>
      <c r="CR102" s="69"/>
    </row>
    <row r="103" spans="1:96" ht="11.15" customHeight="1" x14ac:dyDescent="0.2">
      <c r="A103" s="7" t="s">
        <v>150</v>
      </c>
      <c r="B103" s="11"/>
      <c r="C103" s="11"/>
      <c r="D103" s="11"/>
      <c r="E103" s="11"/>
      <c r="F103" s="65">
        <v>303</v>
      </c>
      <c r="G103" s="11"/>
      <c r="H103" s="11"/>
      <c r="I103" s="11"/>
      <c r="J103" s="11"/>
      <c r="K103" s="65">
        <v>377</v>
      </c>
      <c r="L103" s="11"/>
      <c r="M103" s="11"/>
      <c r="N103" s="11"/>
      <c r="O103" s="11"/>
      <c r="P103" s="65">
        <v>400</v>
      </c>
      <c r="Q103" s="11"/>
      <c r="R103" s="11"/>
      <c r="S103" s="11"/>
      <c r="T103" s="11"/>
      <c r="U103" s="65">
        <v>383</v>
      </c>
      <c r="V103" s="11"/>
      <c r="W103" s="11"/>
      <c r="X103" s="11"/>
      <c r="Y103" s="11"/>
      <c r="Z103" s="65">
        <v>477</v>
      </c>
      <c r="AA103" s="11"/>
      <c r="AB103" s="11"/>
      <c r="AC103" s="11"/>
      <c r="AD103" s="11"/>
      <c r="AE103" s="65">
        <v>658</v>
      </c>
      <c r="AF103" s="11"/>
      <c r="AG103" s="11"/>
      <c r="AH103" s="11"/>
      <c r="AI103" s="11"/>
      <c r="AJ103" s="65">
        <v>786</v>
      </c>
      <c r="AK103" s="11"/>
      <c r="AL103" s="11"/>
      <c r="AM103" s="11"/>
      <c r="AN103" s="11"/>
      <c r="AO103" s="65">
        <v>996</v>
      </c>
      <c r="AP103" s="11"/>
      <c r="AQ103" s="11"/>
      <c r="AR103" s="11"/>
      <c r="AS103" s="11"/>
      <c r="AT103" s="65">
        <v>1079</v>
      </c>
      <c r="AU103" s="11"/>
      <c r="AV103" s="11"/>
      <c r="AW103" s="11"/>
      <c r="AX103" s="11"/>
      <c r="AY103" s="65">
        <v>1412</v>
      </c>
      <c r="AZ103" s="11"/>
      <c r="BA103" s="11"/>
      <c r="BB103" s="11"/>
      <c r="BC103" s="11"/>
      <c r="BD103" s="65">
        <v>1636</v>
      </c>
      <c r="BE103" s="11"/>
      <c r="BF103" s="11"/>
      <c r="BG103" s="11"/>
      <c r="BH103" s="11"/>
      <c r="BI103" s="65">
        <v>2020</v>
      </c>
      <c r="BJ103" s="11"/>
      <c r="BK103" s="11"/>
      <c r="BL103" s="11"/>
      <c r="BM103" s="11"/>
      <c r="BN103" s="65">
        <v>2493</v>
      </c>
      <c r="BO103" s="11"/>
      <c r="BP103" s="11"/>
      <c r="BQ103" s="11"/>
      <c r="BR103" s="11"/>
      <c r="BS103" s="65">
        <v>2297</v>
      </c>
      <c r="BT103" s="11"/>
      <c r="BU103" s="11"/>
      <c r="BV103" s="11"/>
      <c r="BW103" s="11"/>
      <c r="BX103" s="65">
        <v>2286</v>
      </c>
      <c r="BY103" s="11"/>
      <c r="BZ103" s="11"/>
      <c r="CA103" s="11"/>
      <c r="CB103" s="11"/>
      <c r="CC103" s="65">
        <v>2202</v>
      </c>
      <c r="CD103" s="11"/>
      <c r="CE103" s="11"/>
      <c r="CF103" s="11"/>
      <c r="CG103" s="11"/>
      <c r="CH103" s="65">
        <v>2190</v>
      </c>
      <c r="CI103" s="11"/>
      <c r="CJ103" s="11"/>
      <c r="CK103" s="11"/>
      <c r="CL103" s="11"/>
      <c r="CM103" s="65">
        <v>2310</v>
      </c>
      <c r="CN103" s="11"/>
      <c r="CO103" s="11"/>
      <c r="CP103" s="11"/>
      <c r="CQ103" s="11"/>
      <c r="CR103" s="65"/>
    </row>
    <row r="104" spans="1:96" ht="11.15" customHeight="1" x14ac:dyDescent="0.2">
      <c r="A104" s="7" t="s">
        <v>37</v>
      </c>
      <c r="B104" s="11"/>
      <c r="C104" s="11"/>
      <c r="D104" s="11"/>
      <c r="E104" s="11"/>
      <c r="F104" s="65">
        <v>384</v>
      </c>
      <c r="G104" s="11"/>
      <c r="H104" s="11"/>
      <c r="I104" s="11"/>
      <c r="J104" s="11"/>
      <c r="K104" s="65">
        <v>466</v>
      </c>
      <c r="L104" s="11"/>
      <c r="M104" s="11"/>
      <c r="N104" s="11"/>
      <c r="O104" s="11"/>
      <c r="P104" s="65">
        <v>507</v>
      </c>
      <c r="Q104" s="11"/>
      <c r="R104" s="11"/>
      <c r="S104" s="11"/>
      <c r="T104" s="11"/>
      <c r="U104" s="65">
        <v>517</v>
      </c>
      <c r="V104" s="11"/>
      <c r="W104" s="11"/>
      <c r="X104" s="11"/>
      <c r="Y104" s="11"/>
      <c r="Z104" s="65">
        <v>644</v>
      </c>
      <c r="AA104" s="11"/>
      <c r="AB104" s="11"/>
      <c r="AC104" s="11"/>
      <c r="AD104" s="11"/>
      <c r="AE104" s="65">
        <v>784</v>
      </c>
      <c r="AF104" s="11"/>
      <c r="AG104" s="11"/>
      <c r="AH104" s="11"/>
      <c r="AI104" s="11"/>
      <c r="AJ104" s="65">
        <v>867</v>
      </c>
      <c r="AK104" s="11"/>
      <c r="AL104" s="11"/>
      <c r="AM104" s="11"/>
      <c r="AN104" s="11"/>
      <c r="AO104" s="65">
        <v>967</v>
      </c>
      <c r="AP104" s="11"/>
      <c r="AQ104" s="11"/>
      <c r="AR104" s="11"/>
      <c r="AS104" s="11"/>
      <c r="AT104" s="65">
        <v>1032</v>
      </c>
      <c r="AU104" s="11"/>
      <c r="AV104" s="11"/>
      <c r="AW104" s="11"/>
      <c r="AX104" s="11"/>
      <c r="AY104" s="65">
        <v>1133</v>
      </c>
      <c r="AZ104" s="11"/>
      <c r="BA104" s="11"/>
      <c r="BB104" s="11"/>
      <c r="BC104" s="11"/>
      <c r="BD104" s="65">
        <v>1156</v>
      </c>
      <c r="BE104" s="11"/>
      <c r="BF104" s="11"/>
      <c r="BG104" s="11"/>
      <c r="BH104" s="11"/>
      <c r="BI104" s="65">
        <v>1297</v>
      </c>
      <c r="BJ104" s="11"/>
      <c r="BK104" s="11"/>
      <c r="BL104" s="11"/>
      <c r="BM104" s="11"/>
      <c r="BN104" s="65">
        <v>1349</v>
      </c>
      <c r="BO104" s="11"/>
      <c r="BP104" s="11"/>
      <c r="BQ104" s="11"/>
      <c r="BR104" s="11"/>
      <c r="BS104" s="65">
        <v>1248</v>
      </c>
      <c r="BT104" s="11"/>
      <c r="BU104" s="11"/>
      <c r="BV104" s="11"/>
      <c r="BW104" s="11"/>
      <c r="BX104" s="65">
        <v>1315</v>
      </c>
      <c r="BY104" s="11"/>
      <c r="BZ104" s="11"/>
      <c r="CA104" s="11"/>
      <c r="CB104" s="11"/>
      <c r="CC104" s="65">
        <v>1261</v>
      </c>
      <c r="CD104" s="11"/>
      <c r="CE104" s="11"/>
      <c r="CF104" s="11"/>
      <c r="CG104" s="11"/>
      <c r="CH104" s="65">
        <v>1370</v>
      </c>
      <c r="CI104" s="11"/>
      <c r="CJ104" s="11"/>
      <c r="CK104" s="11"/>
      <c r="CL104" s="11"/>
      <c r="CM104" s="65">
        <v>1490</v>
      </c>
      <c r="CN104" s="11"/>
      <c r="CO104" s="11"/>
      <c r="CP104" s="11"/>
      <c r="CQ104" s="11"/>
      <c r="CR104" s="65"/>
    </row>
    <row r="105" spans="1:96" ht="11.15" customHeight="1" x14ac:dyDescent="0.2">
      <c r="A105" s="7" t="s">
        <v>21</v>
      </c>
      <c r="B105" s="11"/>
      <c r="C105" s="11"/>
      <c r="D105" s="11"/>
      <c r="E105" s="11"/>
      <c r="F105" s="61">
        <v>360</v>
      </c>
      <c r="G105" s="11"/>
      <c r="H105" s="11"/>
      <c r="I105" s="11"/>
      <c r="J105" s="11"/>
      <c r="K105" s="61">
        <v>464</v>
      </c>
      <c r="L105" s="11"/>
      <c r="M105" s="11"/>
      <c r="N105" s="11"/>
      <c r="O105" s="11"/>
      <c r="P105" s="61">
        <v>527</v>
      </c>
      <c r="Q105" s="11"/>
      <c r="R105" s="11"/>
      <c r="S105" s="11"/>
      <c r="T105" s="11"/>
      <c r="U105" s="61">
        <v>532</v>
      </c>
      <c r="V105" s="11"/>
      <c r="W105" s="11"/>
      <c r="X105" s="11"/>
      <c r="Y105" s="11"/>
      <c r="Z105" s="61">
        <v>674</v>
      </c>
      <c r="AA105" s="11"/>
      <c r="AB105" s="11"/>
      <c r="AC105" s="11"/>
      <c r="AD105" s="11"/>
      <c r="AE105" s="61">
        <v>821</v>
      </c>
      <c r="AF105" s="11"/>
      <c r="AG105" s="11"/>
      <c r="AH105" s="11"/>
      <c r="AI105" s="11"/>
      <c r="AJ105" s="61">
        <v>909</v>
      </c>
      <c r="AK105" s="11"/>
      <c r="AL105" s="11"/>
      <c r="AM105" s="11"/>
      <c r="AN105" s="11"/>
      <c r="AO105" s="65">
        <v>1023</v>
      </c>
      <c r="AP105" s="11"/>
      <c r="AQ105" s="11"/>
      <c r="AR105" s="11"/>
      <c r="AS105" s="11"/>
      <c r="AT105" s="65">
        <v>1152</v>
      </c>
      <c r="AU105" s="11"/>
      <c r="AV105" s="11"/>
      <c r="AW105" s="11"/>
      <c r="AX105" s="11"/>
      <c r="AY105" s="65">
        <v>1476</v>
      </c>
      <c r="AZ105" s="11"/>
      <c r="BA105" s="11"/>
      <c r="BB105" s="11"/>
      <c r="BC105" s="11"/>
      <c r="BD105" s="65">
        <v>1719</v>
      </c>
      <c r="BE105" s="11"/>
      <c r="BF105" s="11"/>
      <c r="BG105" s="11"/>
      <c r="BH105" s="11"/>
      <c r="BI105" s="65">
        <v>2072</v>
      </c>
      <c r="BJ105" s="11"/>
      <c r="BK105" s="11"/>
      <c r="BL105" s="11"/>
      <c r="BM105" s="11"/>
      <c r="BN105" s="65">
        <v>2389</v>
      </c>
      <c r="BO105" s="11"/>
      <c r="BP105" s="11"/>
      <c r="BQ105" s="11"/>
      <c r="BR105" s="11"/>
      <c r="BS105" s="65">
        <v>2489</v>
      </c>
      <c r="BT105" s="11"/>
      <c r="BU105" s="11"/>
      <c r="BV105" s="11"/>
      <c r="BW105" s="11"/>
      <c r="BX105" s="65">
        <v>2615</v>
      </c>
      <c r="BY105" s="11"/>
      <c r="BZ105" s="11"/>
      <c r="CA105" s="11"/>
      <c r="CB105" s="11"/>
      <c r="CC105" s="65">
        <v>3060</v>
      </c>
      <c r="CD105" s="11"/>
      <c r="CE105" s="11"/>
      <c r="CF105" s="11"/>
      <c r="CG105" s="11"/>
      <c r="CH105" s="65">
        <v>2670</v>
      </c>
      <c r="CI105" s="11"/>
      <c r="CJ105" s="11"/>
      <c r="CK105" s="11"/>
      <c r="CL105" s="11"/>
      <c r="CM105" s="65">
        <v>2380</v>
      </c>
      <c r="CN105" s="11"/>
      <c r="CO105" s="11"/>
      <c r="CP105" s="11"/>
      <c r="CQ105" s="11"/>
      <c r="CR105" s="61"/>
    </row>
    <row r="106" spans="1:96" ht="11.15" customHeight="1" x14ac:dyDescent="0.2">
      <c r="A106" s="6" t="s">
        <v>233</v>
      </c>
      <c r="B106" s="12"/>
      <c r="C106" s="12"/>
      <c r="D106" s="12"/>
      <c r="E106" s="12"/>
      <c r="F106" s="60">
        <f>SUM(F103:F105)</f>
        <v>1047</v>
      </c>
      <c r="G106" s="12"/>
      <c r="H106" s="12"/>
      <c r="I106" s="12"/>
      <c r="J106" s="12"/>
      <c r="K106" s="60">
        <f>SUM(K103:K105)</f>
        <v>1307</v>
      </c>
      <c r="L106" s="12"/>
      <c r="M106" s="12"/>
      <c r="N106" s="12"/>
      <c r="O106" s="12"/>
      <c r="P106" s="60">
        <f>SUM(P103:P105)</f>
        <v>1434</v>
      </c>
      <c r="Q106" s="12"/>
      <c r="R106" s="12"/>
      <c r="S106" s="12"/>
      <c r="T106" s="12"/>
      <c r="U106" s="60">
        <f>SUM(U103:U105)</f>
        <v>1432</v>
      </c>
      <c r="V106" s="12"/>
      <c r="W106" s="12"/>
      <c r="X106" s="12"/>
      <c r="Y106" s="12"/>
      <c r="Z106" s="60">
        <f>SUM(Z103:Z105)</f>
        <v>1795</v>
      </c>
      <c r="AA106" s="12"/>
      <c r="AB106" s="12"/>
      <c r="AC106" s="12"/>
      <c r="AD106" s="12"/>
      <c r="AE106" s="60">
        <f>SUM(AE103:AE105)</f>
        <v>2263</v>
      </c>
      <c r="AF106" s="12"/>
      <c r="AG106" s="12"/>
      <c r="AH106" s="12"/>
      <c r="AI106" s="12"/>
      <c r="AJ106" s="60">
        <f>SUM(AJ103:AJ105)</f>
        <v>2562</v>
      </c>
      <c r="AK106" s="12"/>
      <c r="AL106" s="12"/>
      <c r="AM106" s="12"/>
      <c r="AN106" s="12"/>
      <c r="AO106" s="60">
        <f>SUM(AO103:AO105)</f>
        <v>2986</v>
      </c>
      <c r="AP106" s="12"/>
      <c r="AQ106" s="12"/>
      <c r="AR106" s="12"/>
      <c r="AS106" s="12"/>
      <c r="AT106" s="60">
        <f>SUM(AT103:AT105)</f>
        <v>3263</v>
      </c>
      <c r="AU106" s="12"/>
      <c r="AV106" s="12"/>
      <c r="AW106" s="12"/>
      <c r="AX106" s="12"/>
      <c r="AY106" s="60">
        <f>SUM(AY103:AY105)</f>
        <v>4021</v>
      </c>
      <c r="AZ106" s="12"/>
      <c r="BA106" s="12"/>
      <c r="BB106" s="12"/>
      <c r="BC106" s="12"/>
      <c r="BD106" s="60">
        <f>SUM(BD103:BD105)</f>
        <v>4511</v>
      </c>
      <c r="BE106" s="12"/>
      <c r="BF106" s="12"/>
      <c r="BG106" s="12"/>
      <c r="BH106" s="12"/>
      <c r="BI106" s="60">
        <f>SUM(BI103:BI105)</f>
        <v>5389</v>
      </c>
      <c r="BJ106" s="12"/>
      <c r="BK106" s="12"/>
      <c r="BL106" s="12"/>
      <c r="BM106" s="12"/>
      <c r="BN106" s="60">
        <f>SUM(BN103:BN105)</f>
        <v>6231</v>
      </c>
      <c r="BO106" s="12"/>
      <c r="BP106" s="12"/>
      <c r="BQ106" s="12"/>
      <c r="BR106" s="12"/>
      <c r="BS106" s="60">
        <f>SUM(BS103:BS105)</f>
        <v>6034</v>
      </c>
      <c r="BT106" s="12"/>
      <c r="BU106" s="12"/>
      <c r="BV106" s="12"/>
      <c r="BW106" s="12"/>
      <c r="BX106" s="60">
        <f>SUM(BX103:BX105)</f>
        <v>6216</v>
      </c>
      <c r="BY106" s="12"/>
      <c r="BZ106" s="12"/>
      <c r="CA106" s="12"/>
      <c r="CB106" s="12"/>
      <c r="CC106" s="60">
        <f>SUM(CC103:CC105)</f>
        <v>6523</v>
      </c>
      <c r="CD106" s="12"/>
      <c r="CE106" s="12"/>
      <c r="CF106" s="12"/>
      <c r="CG106" s="12"/>
      <c r="CH106" s="60">
        <f>SUM(CH103:CH105)</f>
        <v>6230</v>
      </c>
      <c r="CI106" s="12"/>
      <c r="CJ106" s="12"/>
      <c r="CK106" s="12"/>
      <c r="CL106" s="12"/>
      <c r="CM106" s="60">
        <f>SUM(CM103:CM105)</f>
        <v>6180</v>
      </c>
      <c r="CN106" s="12"/>
      <c r="CO106" s="12"/>
      <c r="CP106" s="12"/>
      <c r="CQ106" s="12"/>
      <c r="CR106" s="60"/>
    </row>
    <row r="107" spans="1:96" ht="11.15" customHeight="1" x14ac:dyDescent="0.2">
      <c r="A107" s="6"/>
      <c r="B107" s="11"/>
      <c r="C107" s="11"/>
      <c r="D107" s="11"/>
      <c r="E107" s="11"/>
      <c r="F107" s="61"/>
      <c r="G107" s="11"/>
      <c r="H107" s="11"/>
      <c r="I107" s="11"/>
      <c r="J107" s="11"/>
      <c r="K107" s="61"/>
      <c r="L107" s="11"/>
      <c r="M107" s="11"/>
      <c r="N107" s="11"/>
      <c r="O107" s="11"/>
      <c r="P107" s="61"/>
      <c r="Q107" s="11"/>
      <c r="R107" s="11"/>
      <c r="S107" s="11"/>
      <c r="T107" s="11"/>
      <c r="U107" s="61"/>
      <c r="V107" s="11"/>
      <c r="W107" s="11"/>
      <c r="X107" s="11"/>
      <c r="Y107" s="11"/>
      <c r="Z107" s="61"/>
      <c r="AA107" s="11"/>
      <c r="AB107" s="11"/>
      <c r="AC107" s="11"/>
      <c r="AD107" s="11"/>
      <c r="AE107" s="61"/>
      <c r="AF107" s="11"/>
      <c r="AG107" s="11"/>
      <c r="AH107" s="11"/>
      <c r="AI107" s="11"/>
      <c r="AJ107" s="61"/>
      <c r="AK107" s="11"/>
      <c r="AL107" s="11"/>
      <c r="AM107" s="11"/>
      <c r="AN107" s="11"/>
      <c r="AO107" s="61"/>
      <c r="AP107" s="11"/>
      <c r="AQ107" s="11"/>
      <c r="AR107" s="11"/>
      <c r="AS107" s="11"/>
      <c r="AT107" s="61"/>
      <c r="AU107" s="11"/>
      <c r="AV107" s="11"/>
      <c r="AW107" s="11"/>
      <c r="AX107" s="11"/>
      <c r="AY107" s="61"/>
      <c r="AZ107" s="11"/>
      <c r="BA107" s="11"/>
      <c r="BB107" s="11"/>
      <c r="BC107" s="11"/>
      <c r="BD107" s="61"/>
      <c r="BE107" s="11"/>
      <c r="BF107" s="11"/>
      <c r="BG107" s="11"/>
      <c r="BH107" s="11"/>
      <c r="BI107" s="61"/>
      <c r="BJ107" s="11"/>
      <c r="BK107" s="11"/>
      <c r="BL107" s="11"/>
      <c r="BM107" s="11"/>
      <c r="BN107" s="61"/>
      <c r="BO107" s="11"/>
      <c r="BP107" s="11"/>
      <c r="BQ107" s="11"/>
      <c r="BR107" s="11"/>
      <c r="BS107" s="61"/>
      <c r="BT107" s="11"/>
      <c r="BU107" s="11"/>
      <c r="BV107" s="11"/>
      <c r="BW107" s="11"/>
      <c r="BX107" s="61"/>
      <c r="BY107" s="11"/>
      <c r="BZ107" s="11"/>
      <c r="CA107" s="11"/>
      <c r="CB107" s="11"/>
      <c r="CC107" s="61"/>
      <c r="CD107" s="11"/>
      <c r="CE107" s="11"/>
      <c r="CF107" s="11"/>
      <c r="CG107" s="11"/>
      <c r="CH107" s="61"/>
      <c r="CI107" s="11"/>
      <c r="CJ107" s="11"/>
      <c r="CK107" s="11"/>
      <c r="CL107" s="11"/>
      <c r="CM107" s="61"/>
      <c r="CN107" s="11"/>
      <c r="CO107" s="11"/>
      <c r="CP107" s="11"/>
      <c r="CQ107" s="11"/>
      <c r="CR107" s="61"/>
    </row>
    <row r="108" spans="1:96" ht="11.15" customHeight="1" x14ac:dyDescent="0.25">
      <c r="A108" s="35" t="s">
        <v>146</v>
      </c>
      <c r="B108" s="11"/>
      <c r="C108" s="11"/>
      <c r="D108" s="11"/>
      <c r="E108" s="11"/>
      <c r="F108" s="61"/>
      <c r="G108" s="11"/>
      <c r="H108" s="11"/>
      <c r="I108" s="11"/>
      <c r="J108" s="11"/>
      <c r="K108" s="61"/>
      <c r="L108" s="11"/>
      <c r="M108" s="11"/>
      <c r="N108" s="11"/>
      <c r="O108" s="11"/>
      <c r="P108" s="61"/>
      <c r="Q108" s="11"/>
      <c r="R108" s="11"/>
      <c r="S108" s="11"/>
      <c r="T108" s="11"/>
      <c r="U108" s="61"/>
      <c r="V108" s="11"/>
      <c r="W108" s="11"/>
      <c r="X108" s="11"/>
      <c r="Y108" s="11"/>
      <c r="Z108" s="61"/>
      <c r="AA108" s="11"/>
      <c r="AB108" s="11"/>
      <c r="AC108" s="11"/>
      <c r="AD108" s="11"/>
      <c r="AE108" s="61"/>
      <c r="AF108" s="11"/>
      <c r="AG108" s="11"/>
      <c r="AH108" s="11"/>
      <c r="AI108" s="11"/>
      <c r="AJ108" s="61"/>
      <c r="AK108" s="11"/>
      <c r="AL108" s="11"/>
      <c r="AM108" s="11"/>
      <c r="AN108" s="11"/>
      <c r="AO108" s="61"/>
      <c r="AP108" s="11"/>
      <c r="AQ108" s="11"/>
      <c r="AR108" s="11"/>
      <c r="AS108" s="11"/>
      <c r="AT108" s="61"/>
      <c r="AU108" s="11"/>
      <c r="AV108" s="11"/>
      <c r="AW108" s="11"/>
      <c r="AX108" s="11"/>
      <c r="AY108" s="61"/>
      <c r="AZ108" s="11"/>
      <c r="BA108" s="11"/>
      <c r="BB108" s="11"/>
      <c r="BC108" s="11"/>
      <c r="BD108" s="61"/>
      <c r="BE108" s="11"/>
      <c r="BF108" s="11"/>
      <c r="BG108" s="11"/>
      <c r="BH108" s="11"/>
      <c r="BI108" s="61"/>
      <c r="BJ108" s="11"/>
      <c r="BK108" s="11"/>
      <c r="BL108" s="11"/>
      <c r="BM108" s="11"/>
      <c r="BN108" s="61"/>
      <c r="BO108" s="11"/>
      <c r="BP108" s="11"/>
      <c r="BQ108" s="11"/>
      <c r="BR108" s="11"/>
      <c r="BS108" s="61"/>
      <c r="BT108" s="11"/>
      <c r="BU108" s="11"/>
      <c r="BV108" s="11"/>
      <c r="BW108" s="11"/>
      <c r="BX108" s="61"/>
      <c r="BY108" s="11"/>
      <c r="BZ108" s="11"/>
      <c r="CA108" s="11"/>
      <c r="CB108" s="11"/>
      <c r="CC108" s="61"/>
      <c r="CD108" s="11"/>
      <c r="CE108" s="11"/>
      <c r="CF108" s="11"/>
      <c r="CG108" s="11"/>
      <c r="CH108" s="61"/>
      <c r="CI108" s="11"/>
      <c r="CJ108" s="11"/>
      <c r="CK108" s="11"/>
      <c r="CL108" s="11"/>
      <c r="CM108" s="61"/>
      <c r="CN108" s="11"/>
      <c r="CO108" s="11"/>
      <c r="CP108" s="11"/>
      <c r="CQ108" s="11"/>
      <c r="CR108" s="61"/>
    </row>
    <row r="109" spans="1:96" ht="11.15" customHeight="1" x14ac:dyDescent="0.2">
      <c r="A109" s="7" t="s">
        <v>145</v>
      </c>
      <c r="B109" s="11"/>
      <c r="C109" s="11"/>
      <c r="D109" s="11"/>
      <c r="E109" s="11"/>
      <c r="F109" s="83"/>
      <c r="G109" s="11"/>
      <c r="H109" s="11"/>
      <c r="I109" s="11"/>
      <c r="J109" s="11"/>
      <c r="K109" s="83"/>
      <c r="L109" s="11"/>
      <c r="M109" s="11"/>
      <c r="N109" s="11"/>
      <c r="O109" s="11"/>
      <c r="P109" s="83"/>
      <c r="Q109" s="11"/>
      <c r="R109" s="11"/>
      <c r="S109" s="11"/>
      <c r="T109" s="11"/>
      <c r="U109" s="83"/>
      <c r="V109" s="11"/>
      <c r="W109" s="11"/>
      <c r="X109" s="11"/>
      <c r="Y109" s="11"/>
      <c r="Z109" s="83"/>
      <c r="AA109" s="11"/>
      <c r="AB109" s="11"/>
      <c r="AC109" s="11"/>
      <c r="AD109" s="11"/>
      <c r="AE109" s="83">
        <v>15000</v>
      </c>
      <c r="AF109" s="11"/>
      <c r="AG109" s="11"/>
      <c r="AH109" s="11"/>
      <c r="AI109" s="11"/>
      <c r="AJ109" s="83">
        <v>25000</v>
      </c>
      <c r="AK109" s="11"/>
      <c r="AL109" s="11"/>
      <c r="AM109" s="11"/>
      <c r="AN109" s="11"/>
      <c r="AO109" s="83">
        <v>27000</v>
      </c>
      <c r="AP109" s="11"/>
      <c r="AQ109" s="11"/>
      <c r="AR109" s="11"/>
      <c r="AS109" s="11"/>
      <c r="AT109" s="83">
        <v>24800</v>
      </c>
      <c r="AU109" s="11"/>
      <c r="AV109" s="11"/>
      <c r="AW109" s="11"/>
      <c r="AX109" s="11"/>
      <c r="AY109" s="83">
        <v>32800</v>
      </c>
      <c r="AZ109" s="11"/>
      <c r="BA109" s="11"/>
      <c r="BB109" s="11"/>
      <c r="BC109" s="11"/>
      <c r="BD109" s="83">
        <v>37500</v>
      </c>
      <c r="BE109" s="11"/>
      <c r="BF109" s="11"/>
      <c r="BG109" s="11"/>
      <c r="BH109" s="11"/>
      <c r="BI109" s="83">
        <v>46000</v>
      </c>
      <c r="BJ109" s="11"/>
      <c r="BK109" s="11"/>
      <c r="BL109" s="11"/>
      <c r="BM109" s="11"/>
      <c r="BN109" s="83">
        <v>43000</v>
      </c>
      <c r="BO109" s="11"/>
      <c r="BP109" s="11"/>
      <c r="BQ109" s="11"/>
      <c r="BR109" s="11"/>
      <c r="BS109" s="90" t="s">
        <v>211</v>
      </c>
      <c r="BT109" s="11"/>
      <c r="BU109" s="11"/>
      <c r="BV109" s="11"/>
      <c r="BW109" s="11"/>
      <c r="BX109" s="97" t="s">
        <v>217</v>
      </c>
      <c r="BY109" s="11"/>
      <c r="BZ109" s="11"/>
      <c r="CA109" s="11"/>
      <c r="CB109" s="11"/>
      <c r="CC109" s="97">
        <v>51000</v>
      </c>
      <c r="CD109" s="11"/>
      <c r="CE109" s="11"/>
      <c r="CF109" s="11"/>
      <c r="CG109" s="11"/>
      <c r="CH109" s="97" t="s">
        <v>236</v>
      </c>
      <c r="CI109" s="11"/>
      <c r="CJ109" s="11"/>
      <c r="CK109" s="11"/>
      <c r="CL109" s="11"/>
      <c r="CM109" s="97" t="s">
        <v>253</v>
      </c>
      <c r="CN109" s="11"/>
      <c r="CO109" s="11"/>
      <c r="CP109" s="11"/>
      <c r="CQ109" s="11"/>
      <c r="CR109" s="97"/>
    </row>
    <row r="110" spans="1:96" ht="11.15" customHeight="1" x14ac:dyDescent="0.2">
      <c r="A110" s="7"/>
      <c r="B110" s="11"/>
      <c r="C110" s="11"/>
      <c r="D110" s="11"/>
      <c r="E110" s="11"/>
      <c r="F110" s="83"/>
      <c r="G110" s="11"/>
      <c r="H110" s="11"/>
      <c r="I110" s="11"/>
      <c r="J110" s="11"/>
      <c r="K110" s="83"/>
      <c r="L110" s="11"/>
      <c r="M110" s="11"/>
      <c r="N110" s="11"/>
      <c r="O110" s="11"/>
      <c r="P110" s="83"/>
      <c r="Q110" s="11"/>
      <c r="R110" s="11"/>
      <c r="S110" s="11"/>
      <c r="T110" s="11"/>
      <c r="U110" s="83"/>
      <c r="V110" s="11"/>
      <c r="W110" s="11"/>
      <c r="X110" s="11"/>
      <c r="Y110" s="11"/>
      <c r="Z110" s="83"/>
      <c r="AA110" s="11"/>
      <c r="AB110" s="11"/>
      <c r="AC110" s="11"/>
      <c r="AD110" s="11"/>
      <c r="AE110" s="83"/>
      <c r="AF110" s="11"/>
      <c r="AG110" s="11"/>
      <c r="AH110" s="11"/>
      <c r="AI110" s="11"/>
      <c r="AJ110" s="83"/>
      <c r="AK110" s="11"/>
      <c r="AL110" s="11"/>
      <c r="AM110" s="11"/>
      <c r="AN110" s="11"/>
      <c r="AO110" s="83"/>
      <c r="AP110" s="11"/>
      <c r="AQ110" s="11"/>
      <c r="AR110" s="11"/>
      <c r="AS110" s="11"/>
      <c r="AT110" s="83"/>
      <c r="AU110" s="11"/>
      <c r="AV110" s="11"/>
      <c r="AW110" s="11"/>
      <c r="AX110" s="11"/>
      <c r="AY110" s="83"/>
      <c r="AZ110" s="11"/>
      <c r="BA110" s="11"/>
      <c r="BB110" s="11"/>
      <c r="BC110" s="11"/>
      <c r="BD110" s="83"/>
      <c r="BE110" s="11"/>
      <c r="BF110" s="11"/>
      <c r="BG110" s="11"/>
      <c r="BH110" s="11"/>
      <c r="BI110" s="83"/>
      <c r="BJ110" s="11"/>
      <c r="BK110" s="11"/>
      <c r="BL110" s="11"/>
      <c r="BM110" s="11"/>
      <c r="BN110" s="90"/>
      <c r="BO110" s="11"/>
      <c r="BP110" s="11"/>
      <c r="BQ110" s="11"/>
      <c r="BR110" s="11"/>
      <c r="BS110" s="90"/>
      <c r="BT110" s="11"/>
      <c r="BU110" s="11"/>
      <c r="BV110" s="11"/>
      <c r="BW110" s="11"/>
      <c r="BX110" s="90"/>
      <c r="BY110" s="11"/>
      <c r="BZ110" s="11"/>
      <c r="CA110" s="11"/>
      <c r="CB110" s="11"/>
      <c r="CC110" s="90"/>
      <c r="CD110" s="11"/>
      <c r="CE110" s="11"/>
      <c r="CF110" s="11"/>
      <c r="CG110" s="11"/>
      <c r="CH110" s="90"/>
      <c r="CI110" s="11"/>
      <c r="CJ110" s="11"/>
      <c r="CK110" s="11"/>
      <c r="CL110" s="11"/>
      <c r="CM110" s="90"/>
      <c r="CN110" s="11"/>
      <c r="CO110" s="11"/>
      <c r="CP110" s="11"/>
      <c r="CQ110" s="11"/>
      <c r="CR110" s="90"/>
    </row>
    <row r="111" spans="1:96" ht="11.15" customHeight="1" thickBot="1" x14ac:dyDescent="0.25">
      <c r="A111" s="6"/>
      <c r="F111" s="68"/>
      <c r="K111" s="68"/>
      <c r="P111" s="68"/>
      <c r="U111" s="68"/>
      <c r="Z111" s="68"/>
      <c r="AE111" s="68"/>
      <c r="AJ111" s="68"/>
      <c r="AO111" s="68"/>
      <c r="AT111" s="68"/>
      <c r="AY111" s="68"/>
      <c r="BD111" s="68"/>
      <c r="BI111" s="68"/>
      <c r="BN111" s="68"/>
      <c r="BS111" s="68"/>
      <c r="BX111" s="68"/>
      <c r="CC111" s="68"/>
      <c r="CH111" s="68"/>
      <c r="CM111" s="68"/>
      <c r="CR111" s="68"/>
    </row>
    <row r="112" spans="1:96" ht="11.15" customHeight="1" x14ac:dyDescent="0.2">
      <c r="A112" s="6"/>
    </row>
    <row r="113" spans="1:96" ht="11.15" customHeight="1" x14ac:dyDescent="0.2">
      <c r="A113" s="29" t="s">
        <v>141</v>
      </c>
      <c r="CH113" s="116"/>
      <c r="CM113" s="116"/>
      <c r="CR113" s="116"/>
    </row>
    <row r="115" spans="1:96" ht="11.15" customHeight="1" x14ac:dyDescent="0.2"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  <c r="BO115" s="117"/>
      <c r="BP115" s="117"/>
      <c r="BQ115" s="117"/>
      <c r="BR115" s="117"/>
      <c r="BS115" s="117"/>
      <c r="BT115" s="117"/>
      <c r="BU115" s="117"/>
      <c r="BV115" s="117"/>
      <c r="BW115" s="117"/>
      <c r="BX115" s="117"/>
      <c r="BY115" s="117"/>
      <c r="BZ115" s="117"/>
      <c r="CA115" s="117"/>
      <c r="CB115" s="117"/>
      <c r="CC115" s="117"/>
      <c r="CD115" s="117"/>
      <c r="CE115" s="117"/>
      <c r="CF115" s="117"/>
      <c r="CG115" s="117"/>
      <c r="CH115" s="117"/>
    </row>
    <row r="116" spans="1:96" ht="11.15" customHeight="1" x14ac:dyDescent="0.2"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  <c r="BH116" s="117"/>
      <c r="BI116" s="117"/>
      <c r="BJ116" s="117"/>
      <c r="BK116" s="117"/>
      <c r="BL116" s="117"/>
      <c r="BM116" s="117"/>
      <c r="BN116" s="117"/>
      <c r="BO116" s="117"/>
      <c r="BP116" s="117"/>
      <c r="BQ116" s="117"/>
      <c r="BR116" s="117"/>
      <c r="BS116" s="117"/>
      <c r="BT116" s="117"/>
      <c r="BU116" s="117"/>
      <c r="BV116" s="117"/>
      <c r="BW116" s="117"/>
      <c r="BX116" s="117"/>
      <c r="BY116" s="117"/>
      <c r="BZ116" s="117"/>
      <c r="CA116" s="117"/>
      <c r="CB116" s="117"/>
      <c r="CC116" s="117"/>
      <c r="CD116" s="117"/>
      <c r="CE116" s="117"/>
      <c r="CF116" s="117"/>
      <c r="CG116" s="117"/>
      <c r="CH116" s="117"/>
      <c r="CM116" s="117"/>
    </row>
    <row r="117" spans="1:96" ht="11.15" customHeight="1" x14ac:dyDescent="0.2"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117"/>
      <c r="BN117" s="117"/>
      <c r="BO117" s="117"/>
      <c r="BP117" s="117"/>
      <c r="BQ117" s="117"/>
      <c r="BR117" s="117"/>
      <c r="BS117" s="117"/>
      <c r="BT117" s="117"/>
      <c r="BU117" s="117"/>
      <c r="BV117" s="117"/>
      <c r="BW117" s="117"/>
      <c r="BX117" s="117"/>
      <c r="BY117" s="117"/>
      <c r="BZ117" s="117"/>
      <c r="CA117" s="117"/>
      <c r="CB117" s="117"/>
      <c r="CC117" s="117"/>
      <c r="CD117" s="117"/>
      <c r="CE117" s="117"/>
      <c r="CF117" s="117"/>
      <c r="CG117" s="117"/>
      <c r="CH117" s="117"/>
    </row>
    <row r="118" spans="1:96" ht="11.15" customHeight="1" x14ac:dyDescent="0.2"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  <c r="BC118" s="117"/>
      <c r="BD118" s="117"/>
      <c r="BE118" s="117"/>
      <c r="BF118" s="117"/>
      <c r="BG118" s="117"/>
      <c r="BH118" s="117"/>
      <c r="BI118" s="117"/>
      <c r="BJ118" s="117"/>
      <c r="BK118" s="117"/>
      <c r="BL118" s="117"/>
      <c r="BM118" s="117"/>
      <c r="BN118" s="117"/>
      <c r="BO118" s="117"/>
      <c r="BP118" s="117"/>
      <c r="BQ118" s="117"/>
      <c r="BR118" s="117"/>
      <c r="BS118" s="117"/>
      <c r="BT118" s="117"/>
      <c r="BU118" s="117"/>
      <c r="BV118" s="117"/>
      <c r="BW118" s="117"/>
      <c r="BX118" s="117"/>
      <c r="BY118" s="117"/>
      <c r="BZ118" s="117"/>
      <c r="CA118" s="117"/>
      <c r="CB118" s="117"/>
      <c r="CC118" s="117"/>
      <c r="CD118" s="117"/>
      <c r="CE118" s="117"/>
      <c r="CF118" s="117"/>
      <c r="CG118" s="117"/>
      <c r="CH118" s="117"/>
    </row>
  </sheetData>
  <mergeCells count="38">
    <mergeCell ref="CN1:CR1"/>
    <mergeCell ref="CN3:CQ3"/>
    <mergeCell ref="CI1:CM1"/>
    <mergeCell ref="CI3:CL3"/>
    <mergeCell ref="B1:F1"/>
    <mergeCell ref="B3:E3"/>
    <mergeCell ref="Q1:U1"/>
    <mergeCell ref="Q3:T3"/>
    <mergeCell ref="G1:K1"/>
    <mergeCell ref="L1:P1"/>
    <mergeCell ref="G3:J3"/>
    <mergeCell ref="L3:O3"/>
    <mergeCell ref="V3:Y3"/>
    <mergeCell ref="AA3:AD3"/>
    <mergeCell ref="AF3:AI3"/>
    <mergeCell ref="V1:Z1"/>
    <mergeCell ref="AA1:AE1"/>
    <mergeCell ref="AF1:AJ1"/>
    <mergeCell ref="AK1:AO1"/>
    <mergeCell ref="AP1:AT1"/>
    <mergeCell ref="BO1:BS1"/>
    <mergeCell ref="AU1:AY1"/>
    <mergeCell ref="BJ1:BN1"/>
    <mergeCell ref="BE1:BI1"/>
    <mergeCell ref="AZ1:BD1"/>
    <mergeCell ref="BO3:BR3"/>
    <mergeCell ref="AK3:AN3"/>
    <mergeCell ref="AP3:AS3"/>
    <mergeCell ref="AU3:AX3"/>
    <mergeCell ref="AZ3:BC3"/>
    <mergeCell ref="BJ3:BM3"/>
    <mergeCell ref="BE3:BH3"/>
    <mergeCell ref="CD1:CH1"/>
    <mergeCell ref="CD3:CG3"/>
    <mergeCell ref="BY1:CC1"/>
    <mergeCell ref="BY3:CB3"/>
    <mergeCell ref="BT1:BX1"/>
    <mergeCell ref="BT3:BW3"/>
  </mergeCells>
  <phoneticPr fontId="5" type="noConversion"/>
  <printOptions horizontalCentered="1"/>
  <pageMargins left="0.25" right="0.25" top="0.75" bottom="0.75" header="0.3" footer="0.3"/>
  <pageSetup paperSize="5" scale="41" orientation="landscape" r:id="rId1"/>
  <headerFooter alignWithMargins="0">
    <oddHeader>&amp;L&amp;G</oddHeader>
  </headerFooter>
  <ignoredErrors>
    <ignoredError sqref="AO6:AO13 BI26 BD71" formulaRange="1"/>
    <ignoredError sqref="AY13:BN13 Z31:BI31 AO52:BI52 U77:BI82 BN77:BN79 BS77:BS79 BS13:BT13" formula="1"/>
    <ignoredError sqref="BX16:BX17 BX31 BX19:BX22 BX24:BX27" evalError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About</vt:lpstr>
      <vt:lpstr>Income Statement</vt:lpstr>
      <vt:lpstr>Reconciliation</vt:lpstr>
      <vt:lpstr>Balance Sheet</vt:lpstr>
      <vt:lpstr>Cash Flows Cumulative</vt:lpstr>
      <vt:lpstr>Cash Flows</vt:lpstr>
      <vt:lpstr>Key Metrics</vt:lpstr>
      <vt:lpstr>'Balance Sheet'!Print_Area</vt:lpstr>
      <vt:lpstr>'Cash Flows'!Print_Area</vt:lpstr>
      <vt:lpstr>'Cash Flows Cumulative'!Print_Area</vt:lpstr>
      <vt:lpstr>'Income Statement'!Print_Area</vt:lpstr>
      <vt:lpstr>'Key Metrics'!Print_Area</vt:lpstr>
      <vt:lpstr>Reconciliation!Print_Area</vt:lpstr>
    </vt:vector>
  </TitlesOfParts>
  <Company>IPG Photonics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Hillier</dc:creator>
  <cp:lastModifiedBy>Eugene Fedotoff</cp:lastModifiedBy>
  <cp:lastPrinted>2024-06-17T17:30:32Z</cp:lastPrinted>
  <dcterms:created xsi:type="dcterms:W3CDTF">2008-04-24T23:57:50Z</dcterms:created>
  <dcterms:modified xsi:type="dcterms:W3CDTF">2024-07-29T15:12:31Z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